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adecloud.sharepoint.com/sites/ADELibrary/Documents/ESS/Operations/Federal Reporting/"/>
    </mc:Choice>
  </mc:AlternateContent>
  <xr:revisionPtr revIDLastSave="62" documentId="8_{199C07F0-4679-456C-898A-06CB3F50AAB8}" xr6:coauthVersionLast="47" xr6:coauthVersionMax="47" xr10:uidLastSave="{4415F309-70FC-4C86-B4D6-4750DB0A24E7}"/>
  <bookViews>
    <workbookView xWindow="-28920" yWindow="-120" windowWidth="29040" windowHeight="15840" xr2:uid="{00000000-000D-0000-FFFF-FFFF00000000}"/>
  </bookViews>
  <sheets>
    <sheet name="Instructions" sheetId="15" r:id="rId1"/>
    <sheet name="Section 611 Letter" sheetId="9" r:id="rId2"/>
    <sheet name="Section 619 Letter" sheetId="13" r:id="rId3"/>
    <sheet name="Sheet1" sheetId="14" state="hidden" r:id="rId4"/>
    <sheet name="Overview 611" sheetId="1" r:id="rId5"/>
    <sheet name="Overview 619" sheetId="12" r:id="rId6"/>
    <sheet name="Sheet3" sheetId="11" state="hidden" r:id="rId7"/>
    <sheet name="GAN" sheetId="3" state="hidden" r:id="rId8"/>
    <sheet name="GME Source" sheetId="2" state="hidden" r:id="rId9"/>
    <sheet name="Districts" sheetId="4" state="hidden" r:id="rId10"/>
    <sheet name="611" sheetId="6" state="hidden" r:id="rId11"/>
    <sheet name="IndirectCost" sheetId="8" state="hidden" r:id="rId12"/>
    <sheet name="619" sheetId="7" state="hidden" r:id="rId13"/>
  </sheets>
  <definedNames>
    <definedName name="_xlnm._FilterDatabase" localSheetId="10" hidden="1">'611'!$A$6:$Q$648</definedName>
    <definedName name="_xlnm._FilterDatabase" localSheetId="12" hidden="1">'619'!$A$6:$Q$453</definedName>
    <definedName name="_xlnm._FilterDatabase" localSheetId="9" hidden="1">Districts!$A$4:$T$4</definedName>
    <definedName name="_xlnm._FilterDatabase" localSheetId="4" hidden="1">'Overview 611'!$A$2:$P$2</definedName>
    <definedName name="_xlnm._FilterDatabase" localSheetId="5" hidden="1">'Overview 619'!$A$2:$P$2</definedName>
    <definedName name="_xlnm.Print_Area" localSheetId="1">'Section 611 Letter'!$A$2:$I$40</definedName>
    <definedName name="_xlnm.Print_Area" localSheetId="2">'Section 619 Letter'!$A:$I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3" l="1"/>
  <c r="D20" i="13"/>
  <c r="D9" i="13"/>
  <c r="D8" i="13"/>
  <c r="D8" i="9" l="1"/>
  <c r="D9" i="9"/>
  <c r="D20" i="9"/>
  <c r="D21" i="9"/>
  <c r="C3" i="13"/>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3"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I297" i="12"/>
  <c r="I298" i="12"/>
  <c r="I299" i="12"/>
  <c r="I300" i="12"/>
  <c r="I301" i="12"/>
  <c r="I302" i="12"/>
  <c r="I303" i="12"/>
  <c r="I304" i="12"/>
  <c r="I305" i="12"/>
  <c r="I306" i="12"/>
  <c r="I307" i="12"/>
  <c r="I308" i="12"/>
  <c r="I309" i="12"/>
  <c r="I310" i="12"/>
  <c r="I311" i="12"/>
  <c r="I312" i="12"/>
  <c r="I313" i="12"/>
  <c r="I314" i="12"/>
  <c r="I315" i="12"/>
  <c r="I316" i="12"/>
  <c r="I317" i="12"/>
  <c r="I318" i="12"/>
  <c r="I319" i="12"/>
  <c r="I320" i="12"/>
  <c r="I321" i="12"/>
  <c r="I322" i="12"/>
  <c r="I323" i="12"/>
  <c r="I324" i="12"/>
  <c r="I325" i="12"/>
  <c r="I326" i="12"/>
  <c r="I327" i="12"/>
  <c r="I328" i="12"/>
  <c r="I329" i="12"/>
  <c r="I330" i="12"/>
  <c r="I331" i="12"/>
  <c r="I332" i="12"/>
  <c r="I333" i="12"/>
  <c r="I334" i="12"/>
  <c r="I335" i="12"/>
  <c r="I336" i="12"/>
  <c r="I337" i="12"/>
  <c r="I338" i="12"/>
  <c r="I339" i="12"/>
  <c r="I340" i="12"/>
  <c r="I341" i="12"/>
  <c r="I342" i="12"/>
  <c r="I343" i="12"/>
  <c r="I344" i="12"/>
  <c r="I345" i="12"/>
  <c r="I346" i="12"/>
  <c r="I347" i="12"/>
  <c r="I348" i="12"/>
  <c r="I349" i="12"/>
  <c r="I350" i="12"/>
  <c r="I351" i="12"/>
  <c r="I352" i="12"/>
  <c r="I353" i="12"/>
  <c r="I354" i="12"/>
  <c r="I355" i="12"/>
  <c r="I356" i="12"/>
  <c r="I357" i="12"/>
  <c r="I358" i="12"/>
  <c r="I359" i="12"/>
  <c r="I360" i="12"/>
  <c r="I361" i="12"/>
  <c r="I362" i="12"/>
  <c r="I363" i="12"/>
  <c r="I364" i="12"/>
  <c r="I365" i="12"/>
  <c r="I366" i="12"/>
  <c r="I367" i="12"/>
  <c r="I368" i="12"/>
  <c r="I369" i="12"/>
  <c r="I370" i="12"/>
  <c r="I371" i="12"/>
  <c r="I372" i="12"/>
  <c r="I373" i="12"/>
  <c r="I374" i="12"/>
  <c r="I375" i="12"/>
  <c r="I376" i="12"/>
  <c r="I377" i="12"/>
  <c r="I378" i="12"/>
  <c r="I379" i="12"/>
  <c r="I380" i="12"/>
  <c r="I381" i="12"/>
  <c r="I382" i="12"/>
  <c r="I383" i="12"/>
  <c r="I384" i="12"/>
  <c r="I385" i="12"/>
  <c r="I386" i="12"/>
  <c r="I387" i="12"/>
  <c r="I388" i="12"/>
  <c r="I389" i="12"/>
  <c r="I390" i="12"/>
  <c r="I391" i="12"/>
  <c r="I392" i="12"/>
  <c r="I393" i="12"/>
  <c r="I394" i="12"/>
  <c r="I395" i="12"/>
  <c r="I396" i="12"/>
  <c r="I397" i="12"/>
  <c r="I398" i="12"/>
  <c r="I399" i="12"/>
  <c r="I400" i="12"/>
  <c r="I401" i="12"/>
  <c r="I402" i="12"/>
  <c r="I403" i="12"/>
  <c r="I404" i="12"/>
  <c r="I405" i="12"/>
  <c r="I406" i="12"/>
  <c r="I407" i="12"/>
  <c r="I408" i="12"/>
  <c r="I409" i="12"/>
  <c r="I410" i="12"/>
  <c r="I411" i="12"/>
  <c r="I412" i="12"/>
  <c r="I413" i="12"/>
  <c r="I414" i="12"/>
  <c r="I415" i="12"/>
  <c r="I416" i="12"/>
  <c r="I417" i="12"/>
  <c r="I418" i="12"/>
  <c r="I419" i="12"/>
  <c r="I420" i="12"/>
  <c r="I421" i="12"/>
  <c r="I422" i="12"/>
  <c r="I423" i="12"/>
  <c r="I424" i="12"/>
  <c r="I425" i="12"/>
  <c r="I426" i="12"/>
  <c r="I427" i="12"/>
  <c r="I428" i="12"/>
  <c r="I429" i="12"/>
  <c r="I430" i="12"/>
  <c r="I431" i="12"/>
  <c r="I432" i="12"/>
  <c r="I433" i="12"/>
  <c r="I434" i="12"/>
  <c r="I435" i="12"/>
  <c r="I436" i="12"/>
  <c r="I437" i="12"/>
  <c r="I438" i="12"/>
  <c r="I439" i="12"/>
  <c r="I440" i="12"/>
  <c r="I441" i="12"/>
  <c r="I442" i="12"/>
  <c r="I443" i="12"/>
  <c r="I444" i="12"/>
  <c r="I445" i="12"/>
  <c r="I446" i="12"/>
  <c r="I447" i="12"/>
  <c r="I448" i="12"/>
  <c r="I449" i="12"/>
  <c r="I450" i="12"/>
  <c r="I451" i="12"/>
  <c r="I452" i="12"/>
  <c r="I453" i="12"/>
  <c r="I454" i="12"/>
  <c r="I455" i="12"/>
  <c r="I456" i="12"/>
  <c r="I457" i="12"/>
  <c r="I458" i="12"/>
  <c r="I459" i="12"/>
  <c r="I460" i="12"/>
  <c r="I461" i="12"/>
  <c r="I462" i="12"/>
  <c r="I463" i="12"/>
  <c r="I464" i="12"/>
  <c r="I465" i="12"/>
  <c r="I466" i="12"/>
  <c r="I467" i="12"/>
  <c r="I468" i="12"/>
  <c r="I469" i="12"/>
  <c r="I470" i="12"/>
  <c r="I471" i="12"/>
  <c r="I472" i="12"/>
  <c r="I473" i="12"/>
  <c r="I474" i="12"/>
  <c r="I475" i="12"/>
  <c r="I476" i="12"/>
  <c r="I477" i="12"/>
  <c r="I478" i="12"/>
  <c r="I479" i="12"/>
  <c r="I480" i="12"/>
  <c r="I481" i="12"/>
  <c r="I482" i="12"/>
  <c r="I483" i="12"/>
  <c r="I484" i="12"/>
  <c r="I485" i="12"/>
  <c r="I486" i="12"/>
  <c r="I487" i="12"/>
  <c r="I488" i="12"/>
  <c r="I489" i="12"/>
  <c r="I490" i="12"/>
  <c r="I491" i="12"/>
  <c r="I492" i="12"/>
  <c r="I493" i="12"/>
  <c r="I494" i="12"/>
  <c r="I495" i="12"/>
  <c r="I496" i="12"/>
  <c r="I497" i="12"/>
  <c r="I498" i="12"/>
  <c r="I499" i="12"/>
  <c r="I500" i="12"/>
  <c r="I501" i="12"/>
  <c r="I502" i="12"/>
  <c r="I503" i="12"/>
  <c r="I504" i="12"/>
  <c r="I505" i="12"/>
  <c r="I506" i="12"/>
  <c r="I507" i="12"/>
  <c r="I508" i="12"/>
  <c r="I509" i="12"/>
  <c r="I510" i="12"/>
  <c r="I511" i="12"/>
  <c r="I512" i="12"/>
  <c r="I513" i="12"/>
  <c r="I514" i="12"/>
  <c r="I515" i="12"/>
  <c r="I516" i="12"/>
  <c r="I517" i="12"/>
  <c r="I518" i="12"/>
  <c r="I519" i="12"/>
  <c r="I520" i="12"/>
  <c r="I521" i="12"/>
  <c r="I522" i="12"/>
  <c r="I523" i="12"/>
  <c r="I524" i="12"/>
  <c r="I525" i="12"/>
  <c r="I526" i="12"/>
  <c r="I527" i="12"/>
  <c r="I528" i="12"/>
  <c r="I529" i="12"/>
  <c r="I530" i="12"/>
  <c r="I531" i="12"/>
  <c r="I532" i="12"/>
  <c r="I533" i="12"/>
  <c r="I534" i="12"/>
  <c r="I535" i="12"/>
  <c r="I536" i="12"/>
  <c r="I537" i="12"/>
  <c r="I538" i="12"/>
  <c r="I539" i="12"/>
  <c r="I540" i="12"/>
  <c r="I541" i="12"/>
  <c r="I542" i="12"/>
  <c r="I543" i="12"/>
  <c r="I544" i="12"/>
  <c r="I545" i="12"/>
  <c r="I546" i="12"/>
  <c r="I547" i="12"/>
  <c r="I548" i="12"/>
  <c r="I549" i="12"/>
  <c r="I550" i="12"/>
  <c r="I551" i="12"/>
  <c r="I552" i="12"/>
  <c r="I553" i="12"/>
  <c r="I554" i="12"/>
  <c r="I555" i="12"/>
  <c r="I556" i="12"/>
  <c r="I557" i="12"/>
  <c r="I558" i="12"/>
  <c r="I559" i="12"/>
  <c r="I560" i="12"/>
  <c r="I561" i="12"/>
  <c r="I562" i="12"/>
  <c r="I563" i="12"/>
  <c r="I564" i="12"/>
  <c r="I565" i="12"/>
  <c r="I566" i="12"/>
  <c r="I567" i="12"/>
  <c r="I568" i="12"/>
  <c r="I569" i="12"/>
  <c r="I570" i="12"/>
  <c r="I571" i="12"/>
  <c r="I572" i="12"/>
  <c r="I573" i="12"/>
  <c r="I574" i="12"/>
  <c r="I575" i="12"/>
  <c r="I576" i="12"/>
  <c r="I577" i="12"/>
  <c r="I578" i="12"/>
  <c r="I579" i="12"/>
  <c r="I580" i="12"/>
  <c r="I581" i="12"/>
  <c r="I582" i="12"/>
  <c r="I583" i="12"/>
  <c r="I584" i="12"/>
  <c r="I585" i="12"/>
  <c r="I586" i="12"/>
  <c r="I587" i="12"/>
  <c r="I588" i="12"/>
  <c r="I589" i="12"/>
  <c r="I590" i="12"/>
  <c r="I591" i="12"/>
  <c r="I592" i="12"/>
  <c r="I593" i="12"/>
  <c r="I594" i="12"/>
  <c r="I595" i="12"/>
  <c r="I596" i="12"/>
  <c r="I597" i="12"/>
  <c r="I598" i="12"/>
  <c r="I599" i="12"/>
  <c r="I600" i="12"/>
  <c r="I601" i="12"/>
  <c r="I602" i="12"/>
  <c r="I603" i="12"/>
  <c r="I604" i="12"/>
  <c r="I605" i="12"/>
  <c r="I606" i="12"/>
  <c r="I607" i="12"/>
  <c r="I608" i="12"/>
  <c r="I609" i="12"/>
  <c r="I610" i="12"/>
  <c r="I611" i="12"/>
  <c r="I612" i="12"/>
  <c r="I613" i="12"/>
  <c r="I614" i="12"/>
  <c r="I615" i="12"/>
  <c r="I616" i="12"/>
  <c r="I617" i="12"/>
  <c r="I618" i="12"/>
  <c r="I619" i="12"/>
  <c r="I620" i="12"/>
  <c r="I621" i="12"/>
  <c r="I622" i="12"/>
  <c r="I623" i="12"/>
  <c r="I624" i="12"/>
  <c r="I625" i="12"/>
  <c r="I626" i="12"/>
  <c r="I627" i="12"/>
  <c r="I628" i="12"/>
  <c r="I629" i="12"/>
  <c r="I630" i="12"/>
  <c r="I631" i="12"/>
  <c r="I632" i="12"/>
  <c r="I633" i="12"/>
  <c r="I634" i="12"/>
  <c r="I635" i="12"/>
  <c r="I636" i="12"/>
  <c r="I637" i="12"/>
  <c r="I638" i="12"/>
  <c r="I639" i="12"/>
  <c r="I640" i="12"/>
  <c r="I641" i="12"/>
  <c r="I642" i="12"/>
  <c r="I643" i="12"/>
  <c r="I644" i="12"/>
  <c r="I3" i="12"/>
  <c r="P644" i="12" l="1"/>
  <c r="Q644" i="12" s="1"/>
  <c r="D644" i="12"/>
  <c r="C644" i="12"/>
  <c r="P643" i="12"/>
  <c r="Q643" i="12" s="1"/>
  <c r="D643" i="12"/>
  <c r="C643" i="12"/>
  <c r="Q642" i="12"/>
  <c r="P642" i="12"/>
  <c r="D642" i="12"/>
  <c r="C642" i="12"/>
  <c r="Q641" i="12"/>
  <c r="P641" i="12"/>
  <c r="D641" i="12"/>
  <c r="C641" i="12"/>
  <c r="P640" i="12"/>
  <c r="Q640" i="12" s="1"/>
  <c r="D640" i="12"/>
  <c r="C640" i="12"/>
  <c r="P639" i="12"/>
  <c r="Q639" i="12" s="1"/>
  <c r="D639" i="12"/>
  <c r="C639" i="12"/>
  <c r="Q638" i="12"/>
  <c r="P638" i="12"/>
  <c r="D638" i="12"/>
  <c r="C638" i="12"/>
  <c r="P637" i="12"/>
  <c r="Q637" i="12" s="1"/>
  <c r="D637" i="12"/>
  <c r="C637" i="12"/>
  <c r="P636" i="12"/>
  <c r="Q636" i="12" s="1"/>
  <c r="D636" i="12"/>
  <c r="C636" i="12"/>
  <c r="P635" i="12"/>
  <c r="Q635" i="12" s="1"/>
  <c r="D635" i="12"/>
  <c r="C635" i="12"/>
  <c r="P634" i="12"/>
  <c r="Q634" i="12" s="1"/>
  <c r="D634" i="12"/>
  <c r="C634" i="12"/>
  <c r="Q633" i="12"/>
  <c r="P633" i="12"/>
  <c r="D633" i="12"/>
  <c r="C633" i="12"/>
  <c r="P632" i="12"/>
  <c r="Q632" i="12" s="1"/>
  <c r="D632" i="12"/>
  <c r="C632" i="12"/>
  <c r="P631" i="12"/>
  <c r="Q631" i="12" s="1"/>
  <c r="D631" i="12"/>
  <c r="C631" i="12"/>
  <c r="Q630" i="12"/>
  <c r="P630" i="12"/>
  <c r="D630" i="12"/>
  <c r="C630" i="12"/>
  <c r="Q629" i="12"/>
  <c r="P629" i="12"/>
  <c r="D629" i="12"/>
  <c r="C629" i="12"/>
  <c r="P628" i="12"/>
  <c r="Q628" i="12" s="1"/>
  <c r="D628" i="12"/>
  <c r="C628" i="12"/>
  <c r="P627" i="12"/>
  <c r="Q627" i="12" s="1"/>
  <c r="D627" i="12"/>
  <c r="C627" i="12"/>
  <c r="Q626" i="12"/>
  <c r="P626" i="12"/>
  <c r="D626" i="12"/>
  <c r="C626" i="12"/>
  <c r="P625" i="12"/>
  <c r="Q625" i="12" s="1"/>
  <c r="D625" i="12"/>
  <c r="C625" i="12"/>
  <c r="P624" i="12"/>
  <c r="Q624" i="12" s="1"/>
  <c r="D624" i="12"/>
  <c r="C624" i="12"/>
  <c r="Q623" i="12"/>
  <c r="P623" i="12"/>
  <c r="D623" i="12"/>
  <c r="C623" i="12"/>
  <c r="P622" i="12"/>
  <c r="Q622" i="12" s="1"/>
  <c r="D622" i="12"/>
  <c r="C622" i="12"/>
  <c r="Q621" i="12"/>
  <c r="P621" i="12"/>
  <c r="D621" i="12"/>
  <c r="C621" i="12"/>
  <c r="P620" i="12"/>
  <c r="Q620" i="12" s="1"/>
  <c r="D620" i="12"/>
  <c r="C620" i="12"/>
  <c r="P619" i="12"/>
  <c r="Q619" i="12" s="1"/>
  <c r="D619" i="12"/>
  <c r="C619" i="12"/>
  <c r="Q618" i="12"/>
  <c r="P618" i="12"/>
  <c r="D618" i="12"/>
  <c r="C618" i="12"/>
  <c r="Q617" i="12"/>
  <c r="P617" i="12"/>
  <c r="D617" i="12"/>
  <c r="C617" i="12"/>
  <c r="P616" i="12"/>
  <c r="Q616" i="12" s="1"/>
  <c r="D616" i="12"/>
  <c r="C616" i="12"/>
  <c r="P615" i="12"/>
  <c r="Q615" i="12" s="1"/>
  <c r="D615" i="12"/>
  <c r="C615" i="12"/>
  <c r="Q614" i="12"/>
  <c r="P614" i="12"/>
  <c r="D614" i="12"/>
  <c r="C614" i="12"/>
  <c r="P613" i="12"/>
  <c r="Q613" i="12" s="1"/>
  <c r="D613" i="12"/>
  <c r="C613" i="12"/>
  <c r="P612" i="12"/>
  <c r="Q612" i="12" s="1"/>
  <c r="D612" i="12"/>
  <c r="C612" i="12"/>
  <c r="Q611" i="12"/>
  <c r="P611" i="12"/>
  <c r="D611" i="12"/>
  <c r="C611" i="12"/>
  <c r="P610" i="12"/>
  <c r="Q610" i="12" s="1"/>
  <c r="D610" i="12"/>
  <c r="C610" i="12"/>
  <c r="Q609" i="12"/>
  <c r="P609" i="12"/>
  <c r="D609" i="12"/>
  <c r="C609" i="12"/>
  <c r="P608" i="12"/>
  <c r="Q608" i="12" s="1"/>
  <c r="D608" i="12"/>
  <c r="C608" i="12"/>
  <c r="P607" i="12"/>
  <c r="Q607" i="12" s="1"/>
  <c r="D607" i="12"/>
  <c r="C607" i="12"/>
  <c r="Q606" i="12"/>
  <c r="P606" i="12"/>
  <c r="D606" i="12"/>
  <c r="C606" i="12"/>
  <c r="Q605" i="12"/>
  <c r="P605" i="12"/>
  <c r="D605" i="12"/>
  <c r="C605" i="12"/>
  <c r="P604" i="12"/>
  <c r="Q604" i="12" s="1"/>
  <c r="D604" i="12"/>
  <c r="C604" i="12"/>
  <c r="P603" i="12"/>
  <c r="Q603" i="12" s="1"/>
  <c r="D603" i="12"/>
  <c r="C603" i="12"/>
  <c r="Q602" i="12"/>
  <c r="P602" i="12"/>
  <c r="D602" i="12"/>
  <c r="C602" i="12"/>
  <c r="P601" i="12"/>
  <c r="Q601" i="12" s="1"/>
  <c r="D601" i="12"/>
  <c r="C601" i="12"/>
  <c r="P600" i="12"/>
  <c r="Q600" i="12" s="1"/>
  <c r="D600" i="12"/>
  <c r="C600" i="12"/>
  <c r="Q599" i="12"/>
  <c r="P599" i="12"/>
  <c r="D599" i="12"/>
  <c r="C599" i="12"/>
  <c r="P598" i="12"/>
  <c r="Q598" i="12" s="1"/>
  <c r="D598" i="12"/>
  <c r="C598" i="12"/>
  <c r="P597" i="12"/>
  <c r="Q597" i="12" s="1"/>
  <c r="D597" i="12"/>
  <c r="C597" i="12"/>
  <c r="P596" i="12"/>
  <c r="Q596" i="12" s="1"/>
  <c r="D596" i="12"/>
  <c r="C596" i="12"/>
  <c r="P595" i="12"/>
  <c r="Q595" i="12" s="1"/>
  <c r="D595" i="12"/>
  <c r="C595" i="12"/>
  <c r="Q594" i="12"/>
  <c r="P594" i="12"/>
  <c r="D594" i="12"/>
  <c r="C594" i="12"/>
  <c r="Q593" i="12"/>
  <c r="P593" i="12"/>
  <c r="D593" i="12"/>
  <c r="C593" i="12"/>
  <c r="P592" i="12"/>
  <c r="Q592" i="12" s="1"/>
  <c r="D592" i="12"/>
  <c r="C592" i="12"/>
  <c r="P591" i="12"/>
  <c r="Q591" i="12" s="1"/>
  <c r="D591" i="12"/>
  <c r="C591" i="12"/>
  <c r="Q590" i="12"/>
  <c r="P590" i="12"/>
  <c r="D590" i="12"/>
  <c r="C590" i="12"/>
  <c r="P589" i="12"/>
  <c r="Q589" i="12" s="1"/>
  <c r="D589" i="12"/>
  <c r="C589" i="12"/>
  <c r="P588" i="12"/>
  <c r="Q588" i="12" s="1"/>
  <c r="D588" i="12"/>
  <c r="C588" i="12"/>
  <c r="P587" i="12"/>
  <c r="Q587" i="12" s="1"/>
  <c r="D587" i="12"/>
  <c r="C587" i="12"/>
  <c r="P586" i="12"/>
  <c r="Q586" i="12" s="1"/>
  <c r="D586" i="12"/>
  <c r="C586" i="12"/>
  <c r="P585" i="12"/>
  <c r="Q585" i="12" s="1"/>
  <c r="D585" i="12"/>
  <c r="C585" i="12"/>
  <c r="P584" i="12"/>
  <c r="Q584" i="12" s="1"/>
  <c r="D584" i="12"/>
  <c r="C584" i="12"/>
  <c r="P583" i="12"/>
  <c r="Q583" i="12" s="1"/>
  <c r="D583" i="12"/>
  <c r="C583" i="12"/>
  <c r="Q582" i="12"/>
  <c r="P582" i="12"/>
  <c r="D582" i="12"/>
  <c r="C582" i="12"/>
  <c r="Q581" i="12"/>
  <c r="P581" i="12"/>
  <c r="D581" i="12"/>
  <c r="C581" i="12"/>
  <c r="P580" i="12"/>
  <c r="Q580" i="12" s="1"/>
  <c r="D580" i="12"/>
  <c r="C580" i="12"/>
  <c r="P579" i="12"/>
  <c r="Q579" i="12" s="1"/>
  <c r="D579" i="12"/>
  <c r="C579" i="12"/>
  <c r="Q578" i="12"/>
  <c r="P578" i="12"/>
  <c r="D578" i="12"/>
  <c r="C578" i="12"/>
  <c r="P577" i="12"/>
  <c r="Q577" i="12" s="1"/>
  <c r="D577" i="12"/>
  <c r="C577" i="12"/>
  <c r="P576" i="12"/>
  <c r="Q576" i="12" s="1"/>
  <c r="D576" i="12"/>
  <c r="C576" i="12"/>
  <c r="P575" i="12"/>
  <c r="Q575" i="12" s="1"/>
  <c r="D575" i="12"/>
  <c r="C575" i="12"/>
  <c r="P574" i="12"/>
  <c r="Q574" i="12" s="1"/>
  <c r="D574" i="12"/>
  <c r="C574" i="12"/>
  <c r="P573" i="12"/>
  <c r="Q573" i="12" s="1"/>
  <c r="D573" i="12"/>
  <c r="C573" i="12"/>
  <c r="Q572" i="12"/>
  <c r="P572" i="12"/>
  <c r="D572" i="12"/>
  <c r="C572" i="12"/>
  <c r="P571" i="12"/>
  <c r="Q571" i="12" s="1"/>
  <c r="D571" i="12"/>
  <c r="C571" i="12"/>
  <c r="Q570" i="12"/>
  <c r="P570" i="12"/>
  <c r="D570" i="12"/>
  <c r="C570" i="12"/>
  <c r="Q569" i="12"/>
  <c r="P569" i="12"/>
  <c r="D569" i="12"/>
  <c r="C569" i="12"/>
  <c r="P568" i="12"/>
  <c r="Q568" i="12" s="1"/>
  <c r="D568" i="12"/>
  <c r="C568" i="12"/>
  <c r="P567" i="12"/>
  <c r="Q567" i="12" s="1"/>
  <c r="D567" i="12"/>
  <c r="C567" i="12"/>
  <c r="Q566" i="12"/>
  <c r="P566" i="12"/>
  <c r="D566" i="12"/>
  <c r="C566" i="12"/>
  <c r="P565" i="12"/>
  <c r="Q565" i="12" s="1"/>
  <c r="D565" i="12"/>
  <c r="C565" i="12"/>
  <c r="P564" i="12"/>
  <c r="Q564" i="12" s="1"/>
  <c r="D564" i="12"/>
  <c r="C564" i="12"/>
  <c r="P563" i="12"/>
  <c r="Q563" i="12" s="1"/>
  <c r="D563" i="12"/>
  <c r="C563" i="12"/>
  <c r="P562" i="12"/>
  <c r="Q562" i="12" s="1"/>
  <c r="D562" i="12"/>
  <c r="C562" i="12"/>
  <c r="P561" i="12"/>
  <c r="Q561" i="12" s="1"/>
  <c r="D561" i="12"/>
  <c r="C561" i="12"/>
  <c r="Q560" i="12"/>
  <c r="P560" i="12"/>
  <c r="D560" i="12"/>
  <c r="C560" i="12"/>
  <c r="P559" i="12"/>
  <c r="Q559" i="12" s="1"/>
  <c r="D559" i="12"/>
  <c r="C559" i="12"/>
  <c r="Q558" i="12"/>
  <c r="P558" i="12"/>
  <c r="D558" i="12"/>
  <c r="C558" i="12"/>
  <c r="Q557" i="12"/>
  <c r="P557" i="12"/>
  <c r="D557" i="12"/>
  <c r="C557" i="12"/>
  <c r="P556" i="12"/>
  <c r="Q556" i="12" s="1"/>
  <c r="D556" i="12"/>
  <c r="C556" i="12"/>
  <c r="P555" i="12"/>
  <c r="Q555" i="12" s="1"/>
  <c r="D555" i="12"/>
  <c r="C555" i="12"/>
  <c r="Q554" i="12"/>
  <c r="P554" i="12"/>
  <c r="D554" i="12"/>
  <c r="C554" i="12"/>
  <c r="P553" i="12"/>
  <c r="Q553" i="12" s="1"/>
  <c r="D553" i="12"/>
  <c r="C553" i="12"/>
  <c r="P552" i="12"/>
  <c r="Q552" i="12" s="1"/>
  <c r="D552" i="12"/>
  <c r="C552" i="12"/>
  <c r="P551" i="12"/>
  <c r="Q551" i="12" s="1"/>
  <c r="D551" i="12"/>
  <c r="C551" i="12"/>
  <c r="P550" i="12"/>
  <c r="Q550" i="12" s="1"/>
  <c r="D550" i="12"/>
  <c r="C550" i="12"/>
  <c r="P549" i="12"/>
  <c r="Q549" i="12" s="1"/>
  <c r="D549" i="12"/>
  <c r="C549" i="12"/>
  <c r="Q548" i="12"/>
  <c r="P548" i="12"/>
  <c r="D548" i="12"/>
  <c r="C548" i="12"/>
  <c r="P547" i="12"/>
  <c r="Q547" i="12" s="1"/>
  <c r="D547" i="12"/>
  <c r="C547" i="12"/>
  <c r="Q546" i="12"/>
  <c r="P546" i="12"/>
  <c r="D546" i="12"/>
  <c r="C546" i="12"/>
  <c r="Q545" i="12"/>
  <c r="P545" i="12"/>
  <c r="D545" i="12"/>
  <c r="C545" i="12"/>
  <c r="P544" i="12"/>
  <c r="Q544" i="12" s="1"/>
  <c r="D544" i="12"/>
  <c r="C544" i="12"/>
  <c r="P543" i="12"/>
  <c r="Q543" i="12" s="1"/>
  <c r="D543" i="12"/>
  <c r="C543" i="12"/>
  <c r="Q542" i="12"/>
  <c r="P542" i="12"/>
  <c r="D542" i="12"/>
  <c r="C542" i="12"/>
  <c r="P541" i="12"/>
  <c r="Q541" i="12" s="1"/>
  <c r="D541" i="12"/>
  <c r="C541" i="12"/>
  <c r="P540" i="12"/>
  <c r="Q540" i="12" s="1"/>
  <c r="D540" i="12"/>
  <c r="C540" i="12"/>
  <c r="P539" i="12"/>
  <c r="Q539" i="12" s="1"/>
  <c r="D539" i="12"/>
  <c r="C539" i="12"/>
  <c r="Q538" i="12"/>
  <c r="P538" i="12"/>
  <c r="D538" i="12"/>
  <c r="C538" i="12"/>
  <c r="P537" i="12"/>
  <c r="Q537" i="12" s="1"/>
  <c r="D537" i="12"/>
  <c r="C537" i="12"/>
  <c r="Q536" i="12"/>
  <c r="P536" i="12"/>
  <c r="D536" i="12"/>
  <c r="C536" i="12"/>
  <c r="P535" i="12"/>
  <c r="Q535" i="12" s="1"/>
  <c r="D535" i="12"/>
  <c r="C535" i="12"/>
  <c r="Q534" i="12"/>
  <c r="P534" i="12"/>
  <c r="D534" i="12"/>
  <c r="C534" i="12"/>
  <c r="Q533" i="12"/>
  <c r="P533" i="12"/>
  <c r="D533" i="12"/>
  <c r="C533" i="12"/>
  <c r="P532" i="12"/>
  <c r="Q532" i="12" s="1"/>
  <c r="D532" i="12"/>
  <c r="C532" i="12"/>
  <c r="P531" i="12"/>
  <c r="Q531" i="12" s="1"/>
  <c r="D531" i="12"/>
  <c r="C531" i="12"/>
  <c r="Q530" i="12"/>
  <c r="P530" i="12"/>
  <c r="D530" i="12"/>
  <c r="C530" i="12"/>
  <c r="P529" i="12"/>
  <c r="Q529" i="12" s="1"/>
  <c r="D529" i="12"/>
  <c r="C529" i="12"/>
  <c r="P528" i="12"/>
  <c r="Q528" i="12" s="1"/>
  <c r="D528" i="12"/>
  <c r="C528" i="12"/>
  <c r="P527" i="12"/>
  <c r="Q527" i="12" s="1"/>
  <c r="D527" i="12"/>
  <c r="C527" i="12"/>
  <c r="Q526" i="12"/>
  <c r="P526" i="12"/>
  <c r="D526" i="12"/>
  <c r="C526" i="12"/>
  <c r="P525" i="12"/>
  <c r="Q525" i="12" s="1"/>
  <c r="D525" i="12"/>
  <c r="C525" i="12"/>
  <c r="Q524" i="12"/>
  <c r="P524" i="12"/>
  <c r="D524" i="12"/>
  <c r="C524" i="12"/>
  <c r="P523" i="12"/>
  <c r="Q523" i="12" s="1"/>
  <c r="D523" i="12"/>
  <c r="C523" i="12"/>
  <c r="Q522" i="12"/>
  <c r="P522" i="12"/>
  <c r="D522" i="12"/>
  <c r="C522" i="12"/>
  <c r="Q521" i="12"/>
  <c r="P521" i="12"/>
  <c r="D521" i="12"/>
  <c r="C521" i="12"/>
  <c r="P520" i="12"/>
  <c r="Q520" i="12" s="1"/>
  <c r="D520" i="12"/>
  <c r="C520" i="12"/>
  <c r="P519" i="12"/>
  <c r="Q519" i="12" s="1"/>
  <c r="D519" i="12"/>
  <c r="C519" i="12"/>
  <c r="Q518" i="12"/>
  <c r="P518" i="12"/>
  <c r="D518" i="12"/>
  <c r="C518" i="12"/>
  <c r="P517" i="12"/>
  <c r="Q517" i="12" s="1"/>
  <c r="D517" i="12"/>
  <c r="C517" i="12"/>
  <c r="P516" i="12"/>
  <c r="Q516" i="12" s="1"/>
  <c r="D516" i="12"/>
  <c r="C516" i="12"/>
  <c r="P515" i="12"/>
  <c r="Q515" i="12" s="1"/>
  <c r="D515" i="12"/>
  <c r="C515" i="12"/>
  <c r="Q514" i="12"/>
  <c r="P514" i="12"/>
  <c r="D514" i="12"/>
  <c r="C514" i="12"/>
  <c r="P513" i="12"/>
  <c r="Q513" i="12" s="1"/>
  <c r="D513" i="12"/>
  <c r="C513" i="12"/>
  <c r="Q512" i="12"/>
  <c r="P512" i="12"/>
  <c r="D512" i="12"/>
  <c r="C512" i="12"/>
  <c r="P511" i="12"/>
  <c r="Q511" i="12" s="1"/>
  <c r="D511" i="12"/>
  <c r="C511" i="12"/>
  <c r="Q510" i="12"/>
  <c r="P510" i="12"/>
  <c r="D510" i="12"/>
  <c r="C510" i="12"/>
  <c r="Q509" i="12"/>
  <c r="P509" i="12"/>
  <c r="D509" i="12"/>
  <c r="C509" i="12"/>
  <c r="P508" i="12"/>
  <c r="Q508" i="12" s="1"/>
  <c r="D508" i="12"/>
  <c r="C508" i="12"/>
  <c r="P507" i="12"/>
  <c r="Q507" i="12" s="1"/>
  <c r="D507" i="12"/>
  <c r="C507" i="12"/>
  <c r="Q506" i="12"/>
  <c r="P506" i="12"/>
  <c r="D506" i="12"/>
  <c r="C506" i="12"/>
  <c r="P505" i="12"/>
  <c r="Q505" i="12" s="1"/>
  <c r="D505" i="12"/>
  <c r="C505" i="12"/>
  <c r="P504" i="12"/>
  <c r="Q504" i="12" s="1"/>
  <c r="D504" i="12"/>
  <c r="C504" i="12"/>
  <c r="P503" i="12"/>
  <c r="Q503" i="12" s="1"/>
  <c r="D503" i="12"/>
  <c r="C503" i="12"/>
  <c r="Q502" i="12"/>
  <c r="P502" i="12"/>
  <c r="D502" i="12"/>
  <c r="C502" i="12"/>
  <c r="P501" i="12"/>
  <c r="Q501" i="12" s="1"/>
  <c r="D501" i="12"/>
  <c r="C501" i="12"/>
  <c r="Q500" i="12"/>
  <c r="P500" i="12"/>
  <c r="D500" i="12"/>
  <c r="C500" i="12"/>
  <c r="P499" i="12"/>
  <c r="Q499" i="12" s="1"/>
  <c r="D499" i="12"/>
  <c r="C499" i="12"/>
  <c r="Q498" i="12"/>
  <c r="P498" i="12"/>
  <c r="D498" i="12"/>
  <c r="C498" i="12"/>
  <c r="Q497" i="12"/>
  <c r="P497" i="12"/>
  <c r="D497" i="12"/>
  <c r="C497" i="12"/>
  <c r="P496" i="12"/>
  <c r="Q496" i="12" s="1"/>
  <c r="D496" i="12"/>
  <c r="C496" i="12"/>
  <c r="P495" i="12"/>
  <c r="Q495" i="12" s="1"/>
  <c r="D495" i="12"/>
  <c r="C495" i="12"/>
  <c r="Q494" i="12"/>
  <c r="P494" i="12"/>
  <c r="D494" i="12"/>
  <c r="C494" i="12"/>
  <c r="P493" i="12"/>
  <c r="Q493" i="12" s="1"/>
  <c r="D493" i="12"/>
  <c r="C493" i="12"/>
  <c r="P492" i="12"/>
  <c r="Q492" i="12" s="1"/>
  <c r="D492" i="12"/>
  <c r="C492" i="12"/>
  <c r="P491" i="12"/>
  <c r="Q491" i="12" s="1"/>
  <c r="D491" i="12"/>
  <c r="C491" i="12"/>
  <c r="Q490" i="12"/>
  <c r="P490" i="12"/>
  <c r="D490" i="12"/>
  <c r="C490" i="12"/>
  <c r="P489" i="12"/>
  <c r="Q489" i="12" s="1"/>
  <c r="D489" i="12"/>
  <c r="C489" i="12"/>
  <c r="Q488" i="12"/>
  <c r="P488" i="12"/>
  <c r="D488" i="12"/>
  <c r="C488" i="12"/>
  <c r="P487" i="12"/>
  <c r="Q487" i="12" s="1"/>
  <c r="D487" i="12"/>
  <c r="C487" i="12"/>
  <c r="Q486" i="12"/>
  <c r="P486" i="12"/>
  <c r="D486" i="12"/>
  <c r="C486" i="12"/>
  <c r="Q485" i="12"/>
  <c r="P485" i="12"/>
  <c r="D485" i="12"/>
  <c r="C485" i="12"/>
  <c r="P484" i="12"/>
  <c r="Q484" i="12" s="1"/>
  <c r="D484" i="12"/>
  <c r="C484" i="12"/>
  <c r="P483" i="12"/>
  <c r="Q483" i="12" s="1"/>
  <c r="D483" i="12"/>
  <c r="C483" i="12"/>
  <c r="Q482" i="12"/>
  <c r="P482" i="12"/>
  <c r="D482" i="12"/>
  <c r="C482" i="12"/>
  <c r="P481" i="12"/>
  <c r="Q481" i="12" s="1"/>
  <c r="D481" i="12"/>
  <c r="C481" i="12"/>
  <c r="P480" i="12"/>
  <c r="Q480" i="12" s="1"/>
  <c r="D480" i="12"/>
  <c r="C480" i="12"/>
  <c r="P479" i="12"/>
  <c r="Q479" i="12" s="1"/>
  <c r="D479" i="12"/>
  <c r="C479" i="12"/>
  <c r="Q478" i="12"/>
  <c r="P478" i="12"/>
  <c r="D478" i="12"/>
  <c r="C478" i="12"/>
  <c r="P477" i="12"/>
  <c r="Q477" i="12" s="1"/>
  <c r="D477" i="12"/>
  <c r="C477" i="12"/>
  <c r="Q476" i="12"/>
  <c r="P476" i="12"/>
  <c r="D476" i="12"/>
  <c r="C476" i="12"/>
  <c r="P475" i="12"/>
  <c r="Q475" i="12" s="1"/>
  <c r="D475" i="12"/>
  <c r="C475" i="12"/>
  <c r="Q474" i="12"/>
  <c r="P474" i="12"/>
  <c r="D474" i="12"/>
  <c r="C474" i="12"/>
  <c r="Q473" i="12"/>
  <c r="P473" i="12"/>
  <c r="D473" i="12"/>
  <c r="C473" i="12"/>
  <c r="P472" i="12"/>
  <c r="Q472" i="12" s="1"/>
  <c r="D472" i="12"/>
  <c r="C472" i="12"/>
  <c r="P471" i="12"/>
  <c r="Q471" i="12" s="1"/>
  <c r="D471" i="12"/>
  <c r="C471" i="12"/>
  <c r="Q470" i="12"/>
  <c r="P470" i="12"/>
  <c r="D470" i="12"/>
  <c r="C470" i="12"/>
  <c r="P469" i="12"/>
  <c r="Q469" i="12" s="1"/>
  <c r="D469" i="12"/>
  <c r="C469" i="12"/>
  <c r="P468" i="12"/>
  <c r="Q468" i="12" s="1"/>
  <c r="D468" i="12"/>
  <c r="C468" i="12"/>
  <c r="P467" i="12"/>
  <c r="Q467" i="12" s="1"/>
  <c r="D467" i="12"/>
  <c r="C467" i="12"/>
  <c r="Q466" i="12"/>
  <c r="P466" i="12"/>
  <c r="D466" i="12"/>
  <c r="C466" i="12"/>
  <c r="P465" i="12"/>
  <c r="Q465" i="12" s="1"/>
  <c r="D465" i="12"/>
  <c r="C465" i="12"/>
  <c r="Q464" i="12"/>
  <c r="P464" i="12"/>
  <c r="D464" i="12"/>
  <c r="C464" i="12"/>
  <c r="P463" i="12"/>
  <c r="Q463" i="12" s="1"/>
  <c r="D463" i="12"/>
  <c r="C463" i="12"/>
  <c r="Q462" i="12"/>
  <c r="P462" i="12"/>
  <c r="D462" i="12"/>
  <c r="C462" i="12"/>
  <c r="Q461" i="12"/>
  <c r="P461" i="12"/>
  <c r="D461" i="12"/>
  <c r="C461" i="12"/>
  <c r="P460" i="12"/>
  <c r="Q460" i="12" s="1"/>
  <c r="D460" i="12"/>
  <c r="C460" i="12"/>
  <c r="P459" i="12"/>
  <c r="Q459" i="12" s="1"/>
  <c r="D459" i="12"/>
  <c r="C459" i="12"/>
  <c r="P458" i="12"/>
  <c r="Q458" i="12" s="1"/>
  <c r="D458" i="12"/>
  <c r="C458" i="12"/>
  <c r="P457" i="12"/>
  <c r="Q457" i="12" s="1"/>
  <c r="D457" i="12"/>
  <c r="C457" i="12"/>
  <c r="P456" i="12"/>
  <c r="Q456" i="12" s="1"/>
  <c r="D456" i="12"/>
  <c r="C456" i="12"/>
  <c r="Q455" i="12"/>
  <c r="P455" i="12"/>
  <c r="D455" i="12"/>
  <c r="C455" i="12"/>
  <c r="Q454" i="12"/>
  <c r="P454" i="12"/>
  <c r="D454" i="12"/>
  <c r="C454" i="12"/>
  <c r="P453" i="12"/>
  <c r="Q453" i="12" s="1"/>
  <c r="D453" i="12"/>
  <c r="C453" i="12"/>
  <c r="P452" i="12"/>
  <c r="Q452" i="12" s="1"/>
  <c r="D452" i="12"/>
  <c r="C452" i="12"/>
  <c r="P451" i="12"/>
  <c r="Q451" i="12" s="1"/>
  <c r="D451" i="12"/>
  <c r="C451" i="12"/>
  <c r="P450" i="12"/>
  <c r="Q450" i="12" s="1"/>
  <c r="D450" i="12"/>
  <c r="C450" i="12"/>
  <c r="Q449" i="12"/>
  <c r="P449" i="12"/>
  <c r="D449" i="12"/>
  <c r="C449" i="12"/>
  <c r="P448" i="12"/>
  <c r="Q448" i="12" s="1"/>
  <c r="D448" i="12"/>
  <c r="C448" i="12"/>
  <c r="P447" i="12"/>
  <c r="Q447" i="12" s="1"/>
  <c r="D447" i="12"/>
  <c r="C447" i="12"/>
  <c r="Q446" i="12"/>
  <c r="P446" i="12"/>
  <c r="D446" i="12"/>
  <c r="C446" i="12"/>
  <c r="Q445" i="12"/>
  <c r="P445" i="12"/>
  <c r="D445" i="12"/>
  <c r="C445" i="12"/>
  <c r="P444" i="12"/>
  <c r="Q444" i="12" s="1"/>
  <c r="D444" i="12"/>
  <c r="C444" i="12"/>
  <c r="Q443" i="12"/>
  <c r="P443" i="12"/>
  <c r="D443" i="12"/>
  <c r="C443" i="12"/>
  <c r="P442" i="12"/>
  <c r="Q442" i="12" s="1"/>
  <c r="D442" i="12"/>
  <c r="C442" i="12"/>
  <c r="P441" i="12"/>
  <c r="Q441" i="12" s="1"/>
  <c r="D441" i="12"/>
  <c r="C441" i="12"/>
  <c r="Q440" i="12"/>
  <c r="P440" i="12"/>
  <c r="D440" i="12"/>
  <c r="C440" i="12"/>
  <c r="P439" i="12"/>
  <c r="Q439" i="12" s="1"/>
  <c r="D439" i="12"/>
  <c r="C439" i="12"/>
  <c r="P438" i="12"/>
  <c r="Q438" i="12" s="1"/>
  <c r="D438" i="12"/>
  <c r="C438" i="12"/>
  <c r="Q437" i="12"/>
  <c r="P437" i="12"/>
  <c r="D437" i="12"/>
  <c r="C437" i="12"/>
  <c r="P436" i="12"/>
  <c r="Q436" i="12" s="1"/>
  <c r="D436" i="12"/>
  <c r="C436" i="12"/>
  <c r="P435" i="12"/>
  <c r="Q435" i="12" s="1"/>
  <c r="D435" i="12"/>
  <c r="C435" i="12"/>
  <c r="Q434" i="12"/>
  <c r="P434" i="12"/>
  <c r="D434" i="12"/>
  <c r="C434" i="12"/>
  <c r="P433" i="12"/>
  <c r="Q433" i="12" s="1"/>
  <c r="D433" i="12"/>
  <c r="C433" i="12"/>
  <c r="P432" i="12"/>
  <c r="Q432" i="12" s="1"/>
  <c r="D432" i="12"/>
  <c r="C432" i="12"/>
  <c r="Q431" i="12"/>
  <c r="P431" i="12"/>
  <c r="D431" i="12"/>
  <c r="C431" i="12"/>
  <c r="P430" i="12"/>
  <c r="Q430" i="12" s="1"/>
  <c r="D430" i="12"/>
  <c r="C430" i="12"/>
  <c r="P429" i="12"/>
  <c r="Q429" i="12" s="1"/>
  <c r="D429" i="12"/>
  <c r="C429" i="12"/>
  <c r="Q428" i="12"/>
  <c r="P428" i="12"/>
  <c r="D428" i="12"/>
  <c r="C428" i="12"/>
  <c r="P427" i="12"/>
  <c r="Q427" i="12" s="1"/>
  <c r="D427" i="12"/>
  <c r="C427" i="12"/>
  <c r="P426" i="12"/>
  <c r="Q426" i="12" s="1"/>
  <c r="D426" i="12"/>
  <c r="C426" i="12"/>
  <c r="P425" i="12"/>
  <c r="Q425" i="12" s="1"/>
  <c r="D425" i="12"/>
  <c r="C425" i="12"/>
  <c r="P424" i="12"/>
  <c r="Q424" i="12" s="1"/>
  <c r="D424" i="12"/>
  <c r="C424" i="12"/>
  <c r="P423" i="12"/>
  <c r="Q423" i="12" s="1"/>
  <c r="D423" i="12"/>
  <c r="C423" i="12"/>
  <c r="Q422" i="12"/>
  <c r="P422" i="12"/>
  <c r="D422" i="12"/>
  <c r="C422" i="12"/>
  <c r="P421" i="12"/>
  <c r="Q421" i="12" s="1"/>
  <c r="D421" i="12"/>
  <c r="C421" i="12"/>
  <c r="P420" i="12"/>
  <c r="Q420" i="12" s="1"/>
  <c r="D420" i="12"/>
  <c r="C420" i="12"/>
  <c r="Q419" i="12"/>
  <c r="P419" i="12"/>
  <c r="D419" i="12"/>
  <c r="C419" i="12"/>
  <c r="Q418" i="12"/>
  <c r="P418" i="12"/>
  <c r="D418" i="12"/>
  <c r="C418" i="12"/>
  <c r="P417" i="12"/>
  <c r="Q417" i="12" s="1"/>
  <c r="D417" i="12"/>
  <c r="C417" i="12"/>
  <c r="P416" i="12"/>
  <c r="Q416" i="12" s="1"/>
  <c r="D416" i="12"/>
  <c r="C416" i="12"/>
  <c r="P415" i="12"/>
  <c r="Q415" i="12" s="1"/>
  <c r="D415" i="12"/>
  <c r="C415" i="12"/>
  <c r="Q414" i="12"/>
  <c r="P414" i="12"/>
  <c r="D414" i="12"/>
  <c r="C414" i="12"/>
  <c r="Q413" i="12"/>
  <c r="P413" i="12"/>
  <c r="D413" i="12"/>
  <c r="C413" i="12"/>
  <c r="P412" i="12"/>
  <c r="Q412" i="12" s="1"/>
  <c r="D412" i="12"/>
  <c r="C412" i="12"/>
  <c r="P411" i="12"/>
  <c r="Q411" i="12" s="1"/>
  <c r="D411" i="12"/>
  <c r="C411" i="12"/>
  <c r="Q410" i="12"/>
  <c r="P410" i="12"/>
  <c r="D410" i="12"/>
  <c r="C410" i="12"/>
  <c r="Q409" i="12"/>
  <c r="P409" i="12"/>
  <c r="D409" i="12"/>
  <c r="C409" i="12"/>
  <c r="P408" i="12"/>
  <c r="Q408" i="12" s="1"/>
  <c r="D408" i="12"/>
  <c r="C408" i="12"/>
  <c r="Q407" i="12"/>
  <c r="P407" i="12"/>
  <c r="D407" i="12"/>
  <c r="C407" i="12"/>
  <c r="P406" i="12"/>
  <c r="Q406" i="12" s="1"/>
  <c r="D406" i="12"/>
  <c r="C406" i="12"/>
  <c r="P405" i="12"/>
  <c r="Q405" i="12" s="1"/>
  <c r="D405" i="12"/>
  <c r="C405" i="12"/>
  <c r="Q404" i="12"/>
  <c r="P404" i="12"/>
  <c r="D404" i="12"/>
  <c r="C404" i="12"/>
  <c r="P403" i="12"/>
  <c r="Q403" i="12" s="1"/>
  <c r="D403" i="12"/>
  <c r="C403" i="12"/>
  <c r="P402" i="12"/>
  <c r="Q402" i="12" s="1"/>
  <c r="D402" i="12"/>
  <c r="C402" i="12"/>
  <c r="Q401" i="12"/>
  <c r="P401" i="12"/>
  <c r="D401" i="12"/>
  <c r="C401" i="12"/>
  <c r="P400" i="12"/>
  <c r="Q400" i="12" s="1"/>
  <c r="D400" i="12"/>
  <c r="C400" i="12"/>
  <c r="P399" i="12"/>
  <c r="Q399" i="12" s="1"/>
  <c r="D399" i="12"/>
  <c r="C399" i="12"/>
  <c r="Q398" i="12"/>
  <c r="P398" i="12"/>
  <c r="D398" i="12"/>
  <c r="C398" i="12"/>
  <c r="P397" i="12"/>
  <c r="Q397" i="12" s="1"/>
  <c r="D397" i="12"/>
  <c r="C397" i="12"/>
  <c r="P396" i="12"/>
  <c r="Q396" i="12" s="1"/>
  <c r="D396" i="12"/>
  <c r="C396" i="12"/>
  <c r="Q395" i="12"/>
  <c r="P395" i="12"/>
  <c r="D395" i="12"/>
  <c r="C395" i="12"/>
  <c r="P394" i="12"/>
  <c r="Q394" i="12" s="1"/>
  <c r="D394" i="12"/>
  <c r="C394" i="12"/>
  <c r="P393" i="12"/>
  <c r="Q393" i="12" s="1"/>
  <c r="D393" i="12"/>
  <c r="C393" i="12"/>
  <c r="Q392" i="12"/>
  <c r="P392" i="12"/>
  <c r="D392" i="12"/>
  <c r="C392" i="12"/>
  <c r="P391" i="12"/>
  <c r="Q391" i="12" s="1"/>
  <c r="D391" i="12"/>
  <c r="C391" i="12"/>
  <c r="P390" i="12"/>
  <c r="Q390" i="12" s="1"/>
  <c r="D390" i="12"/>
  <c r="C390" i="12"/>
  <c r="P389" i="12"/>
  <c r="Q389" i="12" s="1"/>
  <c r="D389" i="12"/>
  <c r="C389" i="12"/>
  <c r="P388" i="12"/>
  <c r="Q388" i="12" s="1"/>
  <c r="D388" i="12"/>
  <c r="C388" i="12"/>
  <c r="Q387" i="12"/>
  <c r="P387" i="12"/>
  <c r="D387" i="12"/>
  <c r="C387" i="12"/>
  <c r="Q386" i="12"/>
  <c r="P386" i="12"/>
  <c r="D386" i="12"/>
  <c r="C386" i="12"/>
  <c r="P385" i="12"/>
  <c r="Q385" i="12" s="1"/>
  <c r="D385" i="12"/>
  <c r="C385" i="12"/>
  <c r="P384" i="12"/>
  <c r="Q384" i="12" s="1"/>
  <c r="D384" i="12"/>
  <c r="C384" i="12"/>
  <c r="Q383" i="12"/>
  <c r="P383" i="12"/>
  <c r="D383" i="12"/>
  <c r="C383" i="12"/>
  <c r="Q382" i="12"/>
  <c r="P382" i="12"/>
  <c r="D382" i="12"/>
  <c r="C382" i="12"/>
  <c r="P381" i="12"/>
  <c r="Q381" i="12" s="1"/>
  <c r="D381" i="12"/>
  <c r="C381" i="12"/>
  <c r="P380" i="12"/>
  <c r="Q380" i="12" s="1"/>
  <c r="D380" i="12"/>
  <c r="C380" i="12"/>
  <c r="P379" i="12"/>
  <c r="Q379" i="12" s="1"/>
  <c r="D379" i="12"/>
  <c r="C379" i="12"/>
  <c r="Q378" i="12"/>
  <c r="P378" i="12"/>
  <c r="D378" i="12"/>
  <c r="C378" i="12"/>
  <c r="Q377" i="12"/>
  <c r="P377" i="12"/>
  <c r="D377" i="12"/>
  <c r="C377" i="12"/>
  <c r="P376" i="12"/>
  <c r="Q376" i="12" s="1"/>
  <c r="D376" i="12"/>
  <c r="C376" i="12"/>
  <c r="P375" i="12"/>
  <c r="Q375" i="12" s="1"/>
  <c r="D375" i="12"/>
  <c r="C375" i="12"/>
  <c r="Q374" i="12"/>
  <c r="P374" i="12"/>
  <c r="D374" i="12"/>
  <c r="C374" i="12"/>
  <c r="Q373" i="12"/>
  <c r="P373" i="12"/>
  <c r="D373" i="12"/>
  <c r="C373" i="12"/>
  <c r="P372" i="12"/>
  <c r="Q372" i="12" s="1"/>
  <c r="D372" i="12"/>
  <c r="C372" i="12"/>
  <c r="Q371" i="12"/>
  <c r="P371" i="12"/>
  <c r="D371" i="12"/>
  <c r="C371" i="12"/>
  <c r="P370" i="12"/>
  <c r="Q370" i="12" s="1"/>
  <c r="D370" i="12"/>
  <c r="C370" i="12"/>
  <c r="P369" i="12"/>
  <c r="Q369" i="12" s="1"/>
  <c r="D369" i="12"/>
  <c r="C369" i="12"/>
  <c r="Q368" i="12"/>
  <c r="P368" i="12"/>
  <c r="D368" i="12"/>
  <c r="C368" i="12"/>
  <c r="P367" i="12"/>
  <c r="Q367" i="12" s="1"/>
  <c r="D367" i="12"/>
  <c r="C367" i="12"/>
  <c r="P366" i="12"/>
  <c r="Q366" i="12" s="1"/>
  <c r="D366" i="12"/>
  <c r="C366" i="12"/>
  <c r="Q365" i="12"/>
  <c r="P365" i="12"/>
  <c r="D365" i="12"/>
  <c r="C365" i="12"/>
  <c r="P364" i="12"/>
  <c r="Q364" i="12" s="1"/>
  <c r="D364" i="12"/>
  <c r="C364" i="12"/>
  <c r="P363" i="12"/>
  <c r="Q363" i="12" s="1"/>
  <c r="D363" i="12"/>
  <c r="C363" i="12"/>
  <c r="Q362" i="12"/>
  <c r="P362" i="12"/>
  <c r="D362" i="12"/>
  <c r="C362" i="12"/>
  <c r="P361" i="12"/>
  <c r="Q361" i="12" s="1"/>
  <c r="D361" i="12"/>
  <c r="C361" i="12"/>
  <c r="P360" i="12"/>
  <c r="Q360" i="12" s="1"/>
  <c r="D360" i="12"/>
  <c r="C360" i="12"/>
  <c r="Q359" i="12"/>
  <c r="P359" i="12"/>
  <c r="D359" i="12"/>
  <c r="C359" i="12"/>
  <c r="P358" i="12"/>
  <c r="Q358" i="12" s="1"/>
  <c r="D358" i="12"/>
  <c r="C358" i="12"/>
  <c r="P357" i="12"/>
  <c r="Q357" i="12" s="1"/>
  <c r="D357" i="12"/>
  <c r="C357" i="12"/>
  <c r="Q356" i="12"/>
  <c r="P356" i="12"/>
  <c r="D356" i="12"/>
  <c r="C356" i="12"/>
  <c r="P355" i="12"/>
  <c r="Q355" i="12" s="1"/>
  <c r="D355" i="12"/>
  <c r="C355" i="12"/>
  <c r="P354" i="12"/>
  <c r="Q354" i="12" s="1"/>
  <c r="D354" i="12"/>
  <c r="C354" i="12"/>
  <c r="P353" i="12"/>
  <c r="Q353" i="12" s="1"/>
  <c r="D353" i="12"/>
  <c r="C353" i="12"/>
  <c r="P352" i="12"/>
  <c r="Q352" i="12" s="1"/>
  <c r="D352" i="12"/>
  <c r="C352" i="12"/>
  <c r="P351" i="12"/>
  <c r="Q351" i="12" s="1"/>
  <c r="D351" i="12"/>
  <c r="C351" i="12"/>
  <c r="Q350" i="12"/>
  <c r="P350" i="12"/>
  <c r="D350" i="12"/>
  <c r="C350" i="12"/>
  <c r="P349" i="12"/>
  <c r="Q349" i="12" s="1"/>
  <c r="D349" i="12"/>
  <c r="C349" i="12"/>
  <c r="P348" i="12"/>
  <c r="Q348" i="12" s="1"/>
  <c r="D348" i="12"/>
  <c r="C348" i="12"/>
  <c r="Q347" i="12"/>
  <c r="P347" i="12"/>
  <c r="D347" i="12"/>
  <c r="C347" i="12"/>
  <c r="Q346" i="12"/>
  <c r="P346" i="12"/>
  <c r="D346" i="12"/>
  <c r="C346" i="12"/>
  <c r="P345" i="12"/>
  <c r="Q345" i="12" s="1"/>
  <c r="D345" i="12"/>
  <c r="C345" i="12"/>
  <c r="P344" i="12"/>
  <c r="Q344" i="12" s="1"/>
  <c r="D344" i="12"/>
  <c r="C344" i="12"/>
  <c r="P343" i="12"/>
  <c r="Q343" i="12" s="1"/>
  <c r="D343" i="12"/>
  <c r="C343" i="12"/>
  <c r="Q342" i="12"/>
  <c r="P342" i="12"/>
  <c r="D342" i="12"/>
  <c r="C342" i="12"/>
  <c r="Q341" i="12"/>
  <c r="P341" i="12"/>
  <c r="D341" i="12"/>
  <c r="C341" i="12"/>
  <c r="P340" i="12"/>
  <c r="Q340" i="12" s="1"/>
  <c r="D340" i="12"/>
  <c r="C340" i="12"/>
  <c r="P339" i="12"/>
  <c r="Q339" i="12" s="1"/>
  <c r="D339" i="12"/>
  <c r="C339" i="12"/>
  <c r="Q338" i="12"/>
  <c r="P338" i="12"/>
  <c r="D338" i="12"/>
  <c r="C338" i="12"/>
  <c r="Q337" i="12"/>
  <c r="P337" i="12"/>
  <c r="D337" i="12"/>
  <c r="C337" i="12"/>
  <c r="P336" i="12"/>
  <c r="Q336" i="12" s="1"/>
  <c r="D336" i="12"/>
  <c r="C336" i="12"/>
  <c r="Q335" i="12"/>
  <c r="P335" i="12"/>
  <c r="D335" i="12"/>
  <c r="C335" i="12"/>
  <c r="P334" i="12"/>
  <c r="Q334" i="12" s="1"/>
  <c r="D334" i="12"/>
  <c r="C334" i="12"/>
  <c r="P333" i="12"/>
  <c r="Q333" i="12" s="1"/>
  <c r="D333" i="12"/>
  <c r="C333" i="12"/>
  <c r="Q332" i="12"/>
  <c r="P332" i="12"/>
  <c r="D332" i="12"/>
  <c r="C332" i="12"/>
  <c r="P331" i="12"/>
  <c r="Q331" i="12" s="1"/>
  <c r="D331" i="12"/>
  <c r="C331" i="12"/>
  <c r="P330" i="12"/>
  <c r="Q330" i="12" s="1"/>
  <c r="D330" i="12"/>
  <c r="C330" i="12"/>
  <c r="Q329" i="12"/>
  <c r="P329" i="12"/>
  <c r="D329" i="12"/>
  <c r="C329" i="12"/>
  <c r="P328" i="12"/>
  <c r="Q328" i="12" s="1"/>
  <c r="D328" i="12"/>
  <c r="C328" i="12"/>
  <c r="P327" i="12"/>
  <c r="Q327" i="12" s="1"/>
  <c r="D327" i="12"/>
  <c r="C327" i="12"/>
  <c r="Q326" i="12"/>
  <c r="P326" i="12"/>
  <c r="D326" i="12"/>
  <c r="C326" i="12"/>
  <c r="P325" i="12"/>
  <c r="Q325" i="12" s="1"/>
  <c r="D325" i="12"/>
  <c r="C325" i="12"/>
  <c r="P324" i="12"/>
  <c r="Q324" i="12" s="1"/>
  <c r="D324" i="12"/>
  <c r="C324" i="12"/>
  <c r="Q323" i="12"/>
  <c r="P323" i="12"/>
  <c r="D323" i="12"/>
  <c r="C323" i="12"/>
  <c r="P322" i="12"/>
  <c r="Q322" i="12" s="1"/>
  <c r="D322" i="12"/>
  <c r="C322" i="12"/>
  <c r="P321" i="12"/>
  <c r="Q321" i="12" s="1"/>
  <c r="D321" i="12"/>
  <c r="C321" i="12"/>
  <c r="Q320" i="12"/>
  <c r="P320" i="12"/>
  <c r="D320" i="12"/>
  <c r="C320" i="12"/>
  <c r="P319" i="12"/>
  <c r="Q319" i="12" s="1"/>
  <c r="D319" i="12"/>
  <c r="C319" i="12"/>
  <c r="P318" i="12"/>
  <c r="Q318" i="12" s="1"/>
  <c r="D318" i="12"/>
  <c r="C318" i="12"/>
  <c r="P317" i="12"/>
  <c r="Q317" i="12" s="1"/>
  <c r="D317" i="12"/>
  <c r="C317" i="12"/>
  <c r="P316" i="12"/>
  <c r="Q316" i="12" s="1"/>
  <c r="D316" i="12"/>
  <c r="C316" i="12"/>
  <c r="Q315" i="12"/>
  <c r="P315" i="12"/>
  <c r="D315" i="12"/>
  <c r="C315" i="12"/>
  <c r="Q314" i="12"/>
  <c r="P314" i="12"/>
  <c r="D314" i="12"/>
  <c r="C314" i="12"/>
  <c r="P313" i="12"/>
  <c r="Q313" i="12" s="1"/>
  <c r="D313" i="12"/>
  <c r="C313" i="12"/>
  <c r="P312" i="12"/>
  <c r="Q312" i="12" s="1"/>
  <c r="D312" i="12"/>
  <c r="C312" i="12"/>
  <c r="Q311" i="12"/>
  <c r="P311" i="12"/>
  <c r="D311" i="12"/>
  <c r="C311" i="12"/>
  <c r="Q310" i="12"/>
  <c r="P310" i="12"/>
  <c r="D310" i="12"/>
  <c r="C310" i="12"/>
  <c r="P309" i="12"/>
  <c r="Q309" i="12" s="1"/>
  <c r="D309" i="12"/>
  <c r="C309" i="12"/>
  <c r="P308" i="12"/>
  <c r="Q308" i="12" s="1"/>
  <c r="D308" i="12"/>
  <c r="C308" i="12"/>
  <c r="P307" i="12"/>
  <c r="Q307" i="12" s="1"/>
  <c r="D307" i="12"/>
  <c r="C307" i="12"/>
  <c r="Q306" i="12"/>
  <c r="P306" i="12"/>
  <c r="D306" i="12"/>
  <c r="C306" i="12"/>
  <c r="Q305" i="12"/>
  <c r="P305" i="12"/>
  <c r="D305" i="12"/>
  <c r="C305" i="12"/>
  <c r="P304" i="12"/>
  <c r="Q304" i="12" s="1"/>
  <c r="D304" i="12"/>
  <c r="C304" i="12"/>
  <c r="P303" i="12"/>
  <c r="Q303" i="12" s="1"/>
  <c r="D303" i="12"/>
  <c r="C303" i="12"/>
  <c r="Q302" i="12"/>
  <c r="P302" i="12"/>
  <c r="D302" i="12"/>
  <c r="C302" i="12"/>
  <c r="Q301" i="12"/>
  <c r="P301" i="12"/>
  <c r="D301" i="12"/>
  <c r="C301" i="12"/>
  <c r="P300" i="12"/>
  <c r="Q300" i="12" s="1"/>
  <c r="D300" i="12"/>
  <c r="C300" i="12"/>
  <c r="Q299" i="12"/>
  <c r="P299" i="12"/>
  <c r="D299" i="12"/>
  <c r="C299" i="12"/>
  <c r="P298" i="12"/>
  <c r="Q298" i="12" s="1"/>
  <c r="D298" i="12"/>
  <c r="C298" i="12"/>
  <c r="P297" i="12"/>
  <c r="Q297" i="12" s="1"/>
  <c r="D297" i="12"/>
  <c r="C297" i="12"/>
  <c r="Q296" i="12"/>
  <c r="P296" i="12"/>
  <c r="D296" i="12"/>
  <c r="C296" i="12"/>
  <c r="P295" i="12"/>
  <c r="Q295" i="12" s="1"/>
  <c r="D295" i="12"/>
  <c r="C295" i="12"/>
  <c r="P294" i="12"/>
  <c r="Q294" i="12" s="1"/>
  <c r="D294" i="12"/>
  <c r="C294" i="12"/>
  <c r="Q293" i="12"/>
  <c r="P293" i="12"/>
  <c r="D293" i="12"/>
  <c r="C293" i="12"/>
  <c r="P292" i="12"/>
  <c r="Q292" i="12" s="1"/>
  <c r="D292" i="12"/>
  <c r="C292" i="12"/>
  <c r="P291" i="12"/>
  <c r="Q291" i="12" s="1"/>
  <c r="D291" i="12"/>
  <c r="C291" i="12"/>
  <c r="Q290" i="12"/>
  <c r="P290" i="12"/>
  <c r="D290" i="12"/>
  <c r="C290" i="12"/>
  <c r="P289" i="12"/>
  <c r="Q289" i="12" s="1"/>
  <c r="D289" i="12"/>
  <c r="C289" i="12"/>
  <c r="P288" i="12"/>
  <c r="Q288" i="12" s="1"/>
  <c r="D288" i="12"/>
  <c r="C288" i="12"/>
  <c r="Q287" i="12"/>
  <c r="P287" i="12"/>
  <c r="D287" i="12"/>
  <c r="C287" i="12"/>
  <c r="P286" i="12"/>
  <c r="Q286" i="12" s="1"/>
  <c r="D286" i="12"/>
  <c r="C286" i="12"/>
  <c r="P285" i="12"/>
  <c r="Q285" i="12" s="1"/>
  <c r="D285" i="12"/>
  <c r="C285" i="12"/>
  <c r="Q284" i="12"/>
  <c r="P284" i="12"/>
  <c r="D284" i="12"/>
  <c r="C284" i="12"/>
  <c r="P283" i="12"/>
  <c r="Q283" i="12" s="1"/>
  <c r="D283" i="12"/>
  <c r="C283" i="12"/>
  <c r="P282" i="12"/>
  <c r="Q282" i="12" s="1"/>
  <c r="D282" i="12"/>
  <c r="C282" i="12"/>
  <c r="P281" i="12"/>
  <c r="Q281" i="12" s="1"/>
  <c r="D281" i="12"/>
  <c r="C281" i="12"/>
  <c r="P280" i="12"/>
  <c r="Q280" i="12" s="1"/>
  <c r="D280" i="12"/>
  <c r="C280" i="12"/>
  <c r="Q279" i="12"/>
  <c r="P279" i="12"/>
  <c r="D279" i="12"/>
  <c r="C279" i="12"/>
  <c r="Q278" i="12"/>
  <c r="P278" i="12"/>
  <c r="D278" i="12"/>
  <c r="C278" i="12"/>
  <c r="P277" i="12"/>
  <c r="Q277" i="12" s="1"/>
  <c r="D277" i="12"/>
  <c r="C277" i="12"/>
  <c r="P276" i="12"/>
  <c r="Q276" i="12" s="1"/>
  <c r="D276" i="12"/>
  <c r="C276" i="12"/>
  <c r="Q275" i="12"/>
  <c r="P275" i="12"/>
  <c r="D275" i="12"/>
  <c r="C275" i="12"/>
  <c r="Q274" i="12"/>
  <c r="P274" i="12"/>
  <c r="D274" i="12"/>
  <c r="C274" i="12"/>
  <c r="P273" i="12"/>
  <c r="Q273" i="12" s="1"/>
  <c r="D273" i="12"/>
  <c r="C273" i="12"/>
  <c r="P272" i="12"/>
  <c r="Q272" i="12" s="1"/>
  <c r="D272" i="12"/>
  <c r="C272" i="12"/>
  <c r="P271" i="12"/>
  <c r="Q271" i="12" s="1"/>
  <c r="D271" i="12"/>
  <c r="C271" i="12"/>
  <c r="P270" i="12"/>
  <c r="Q270" i="12" s="1"/>
  <c r="D270" i="12"/>
  <c r="C270" i="12"/>
  <c r="Q269" i="12"/>
  <c r="P269" i="12"/>
  <c r="D269" i="12"/>
  <c r="C269" i="12"/>
  <c r="P268" i="12"/>
  <c r="Q268" i="12" s="1"/>
  <c r="D268" i="12"/>
  <c r="C268" i="12"/>
  <c r="P267" i="12"/>
  <c r="Q267" i="12" s="1"/>
  <c r="D267" i="12"/>
  <c r="C267" i="12"/>
  <c r="Q266" i="12"/>
  <c r="P266" i="12"/>
  <c r="D266" i="12"/>
  <c r="C266" i="12"/>
  <c r="Q265" i="12"/>
  <c r="P265" i="12"/>
  <c r="D265" i="12"/>
  <c r="C265" i="12"/>
  <c r="P264" i="12"/>
  <c r="Q264" i="12" s="1"/>
  <c r="D264" i="12"/>
  <c r="C264" i="12"/>
  <c r="Q263" i="12"/>
  <c r="P263" i="12"/>
  <c r="D263" i="12"/>
  <c r="C263" i="12"/>
  <c r="P262" i="12"/>
  <c r="Q262" i="12" s="1"/>
  <c r="D262" i="12"/>
  <c r="C262" i="12"/>
  <c r="P261" i="12"/>
  <c r="Q261" i="12" s="1"/>
  <c r="D261" i="12"/>
  <c r="C261" i="12"/>
  <c r="Q260" i="12"/>
  <c r="P260" i="12"/>
  <c r="D260" i="12"/>
  <c r="C260" i="12"/>
  <c r="P259" i="12"/>
  <c r="Q259" i="12" s="1"/>
  <c r="D259" i="12"/>
  <c r="C259" i="12"/>
  <c r="P258" i="12"/>
  <c r="Q258" i="12" s="1"/>
  <c r="D258" i="12"/>
  <c r="C258" i="12"/>
  <c r="Q257" i="12"/>
  <c r="P257" i="12"/>
  <c r="D257" i="12"/>
  <c r="C257" i="12"/>
  <c r="P256" i="12"/>
  <c r="Q256" i="12" s="1"/>
  <c r="D256" i="12"/>
  <c r="C256" i="12"/>
  <c r="P255" i="12"/>
  <c r="Q255" i="12" s="1"/>
  <c r="D255" i="12"/>
  <c r="C255" i="12"/>
  <c r="Q254" i="12"/>
  <c r="P254" i="12"/>
  <c r="D254" i="12"/>
  <c r="C254" i="12"/>
  <c r="P253" i="12"/>
  <c r="Q253" i="12" s="1"/>
  <c r="D253" i="12"/>
  <c r="C253" i="12"/>
  <c r="P252" i="12"/>
  <c r="Q252" i="12" s="1"/>
  <c r="D252" i="12"/>
  <c r="C252" i="12"/>
  <c r="Q251" i="12"/>
  <c r="P251" i="12"/>
  <c r="D251" i="12"/>
  <c r="C251" i="12"/>
  <c r="P250" i="12"/>
  <c r="Q250" i="12" s="1"/>
  <c r="D250" i="12"/>
  <c r="C250" i="12"/>
  <c r="P249" i="12"/>
  <c r="Q249" i="12" s="1"/>
  <c r="D249" i="12"/>
  <c r="C249" i="12"/>
  <c r="Q248" i="12"/>
  <c r="P248" i="12"/>
  <c r="D248" i="12"/>
  <c r="C248" i="12"/>
  <c r="P247" i="12"/>
  <c r="Q247" i="12" s="1"/>
  <c r="D247" i="12"/>
  <c r="C247" i="12"/>
  <c r="P246" i="12"/>
  <c r="Q246" i="12" s="1"/>
  <c r="D246" i="12"/>
  <c r="C246" i="12"/>
  <c r="P245" i="12"/>
  <c r="Q245" i="12" s="1"/>
  <c r="D245" i="12"/>
  <c r="C245" i="12"/>
  <c r="P244" i="12"/>
  <c r="Q244" i="12" s="1"/>
  <c r="D244" i="12"/>
  <c r="C244" i="12"/>
  <c r="P243" i="12"/>
  <c r="Q243" i="12" s="1"/>
  <c r="D243" i="12"/>
  <c r="C243" i="12"/>
  <c r="Q242" i="12"/>
  <c r="P242" i="12"/>
  <c r="D242" i="12"/>
  <c r="C242" i="12"/>
  <c r="P241" i="12"/>
  <c r="Q241" i="12" s="1"/>
  <c r="D241" i="12"/>
  <c r="C241" i="12"/>
  <c r="P240" i="12"/>
  <c r="Q240" i="12" s="1"/>
  <c r="D240" i="12"/>
  <c r="C240" i="12"/>
  <c r="Q239" i="12"/>
  <c r="P239" i="12"/>
  <c r="D239" i="12"/>
  <c r="C239" i="12"/>
  <c r="P238" i="12"/>
  <c r="Q238" i="12" s="1"/>
  <c r="D238" i="12"/>
  <c r="C238" i="12"/>
  <c r="P237" i="12"/>
  <c r="Q237" i="12" s="1"/>
  <c r="D237" i="12"/>
  <c r="C237" i="12"/>
  <c r="P236" i="12"/>
  <c r="Q236" i="12" s="1"/>
  <c r="D236" i="12"/>
  <c r="C236" i="12"/>
  <c r="P235" i="12"/>
  <c r="Q235" i="12" s="1"/>
  <c r="D235" i="12"/>
  <c r="C235" i="12"/>
  <c r="Q234" i="12"/>
  <c r="P234" i="12"/>
  <c r="D234" i="12"/>
  <c r="C234" i="12"/>
  <c r="P233" i="12"/>
  <c r="Q233" i="12" s="1"/>
  <c r="D233" i="12"/>
  <c r="C233" i="12"/>
  <c r="P232" i="12"/>
  <c r="Q232" i="12" s="1"/>
  <c r="D232" i="12"/>
  <c r="C232" i="12"/>
  <c r="P231" i="12"/>
  <c r="Q231" i="12" s="1"/>
  <c r="D231" i="12"/>
  <c r="C231" i="12"/>
  <c r="Q230" i="12"/>
  <c r="P230" i="12"/>
  <c r="D230" i="12"/>
  <c r="C230" i="12"/>
  <c r="P229" i="12"/>
  <c r="Q229" i="12" s="1"/>
  <c r="D229" i="12"/>
  <c r="C229" i="12"/>
  <c r="P228" i="12"/>
  <c r="Q228" i="12" s="1"/>
  <c r="D228" i="12"/>
  <c r="C228" i="12"/>
  <c r="Q227" i="12"/>
  <c r="P227" i="12"/>
  <c r="D227" i="12"/>
  <c r="C227" i="12"/>
  <c r="P226" i="12"/>
  <c r="Q226" i="12" s="1"/>
  <c r="D226" i="12"/>
  <c r="C226" i="12"/>
  <c r="P225" i="12"/>
  <c r="Q225" i="12" s="1"/>
  <c r="D225" i="12"/>
  <c r="C225" i="12"/>
  <c r="P224" i="12"/>
  <c r="Q224" i="12" s="1"/>
  <c r="D224" i="12"/>
  <c r="C224" i="12"/>
  <c r="P223" i="12"/>
  <c r="Q223" i="12" s="1"/>
  <c r="D223" i="12"/>
  <c r="C223" i="12"/>
  <c r="Q222" i="12"/>
  <c r="P222" i="12"/>
  <c r="D222" i="12"/>
  <c r="C222" i="12"/>
  <c r="P221" i="12"/>
  <c r="Q221" i="12" s="1"/>
  <c r="D221" i="12"/>
  <c r="C221" i="12"/>
  <c r="P220" i="12"/>
  <c r="Q220" i="12" s="1"/>
  <c r="D220" i="12"/>
  <c r="C220" i="12"/>
  <c r="P219" i="12"/>
  <c r="Q219" i="12" s="1"/>
  <c r="D219" i="12"/>
  <c r="C219" i="12"/>
  <c r="Q218" i="12"/>
  <c r="P218" i="12"/>
  <c r="D218" i="12"/>
  <c r="C218" i="12"/>
  <c r="P217" i="12"/>
  <c r="Q217" i="12" s="1"/>
  <c r="D217" i="12"/>
  <c r="C217" i="12"/>
  <c r="Q216" i="12"/>
  <c r="P216" i="12"/>
  <c r="D216" i="12"/>
  <c r="C216" i="12"/>
  <c r="Q215" i="12"/>
  <c r="P215" i="12"/>
  <c r="D215" i="12"/>
  <c r="C215" i="12"/>
  <c r="P214" i="12"/>
  <c r="Q214" i="12" s="1"/>
  <c r="D214" i="12"/>
  <c r="C214" i="12"/>
  <c r="P213" i="12"/>
  <c r="Q213" i="12" s="1"/>
  <c r="D213" i="12"/>
  <c r="C213" i="12"/>
  <c r="P212" i="12"/>
  <c r="Q212" i="12" s="1"/>
  <c r="D212" i="12"/>
  <c r="C212" i="12"/>
  <c r="P211" i="12"/>
  <c r="Q211" i="12" s="1"/>
  <c r="D211" i="12"/>
  <c r="C211" i="12"/>
  <c r="Q210" i="12"/>
  <c r="P210" i="12"/>
  <c r="D210" i="12"/>
  <c r="C210" i="12"/>
  <c r="P209" i="12"/>
  <c r="Q209" i="12" s="1"/>
  <c r="D209" i="12"/>
  <c r="C209" i="12"/>
  <c r="P208" i="12"/>
  <c r="Q208" i="12" s="1"/>
  <c r="D208" i="12"/>
  <c r="C208" i="12"/>
  <c r="Q207" i="12"/>
  <c r="P207" i="12"/>
  <c r="D207" i="12"/>
  <c r="C207" i="12"/>
  <c r="Q206" i="12"/>
  <c r="P206" i="12"/>
  <c r="D206" i="12"/>
  <c r="C206" i="12"/>
  <c r="P205" i="12"/>
  <c r="Q205" i="12" s="1"/>
  <c r="D205" i="12"/>
  <c r="C205" i="12"/>
  <c r="P204" i="12"/>
  <c r="Q204" i="12" s="1"/>
  <c r="D204" i="12"/>
  <c r="C204" i="12"/>
  <c r="Q203" i="12"/>
  <c r="P203" i="12"/>
  <c r="D203" i="12"/>
  <c r="C203" i="12"/>
  <c r="P202" i="12"/>
  <c r="Q202" i="12" s="1"/>
  <c r="D202" i="12"/>
  <c r="C202" i="12"/>
  <c r="P201" i="12"/>
  <c r="Q201" i="12" s="1"/>
  <c r="D201" i="12"/>
  <c r="C201" i="12"/>
  <c r="P200" i="12"/>
  <c r="Q200" i="12" s="1"/>
  <c r="D200" i="12"/>
  <c r="C200" i="12"/>
  <c r="P199" i="12"/>
  <c r="Q199" i="12" s="1"/>
  <c r="D199" i="12"/>
  <c r="C199" i="12"/>
  <c r="P198" i="12"/>
  <c r="Q198" i="12" s="1"/>
  <c r="D198" i="12"/>
  <c r="C198" i="12"/>
  <c r="P197" i="12"/>
  <c r="Q197" i="12" s="1"/>
  <c r="D197" i="12"/>
  <c r="C197" i="12"/>
  <c r="P196" i="12"/>
  <c r="Q196" i="12" s="1"/>
  <c r="D196" i="12"/>
  <c r="C196" i="12"/>
  <c r="Q195" i="12"/>
  <c r="P195" i="12"/>
  <c r="D195" i="12"/>
  <c r="C195" i="12"/>
  <c r="Q194" i="12"/>
  <c r="P194" i="12"/>
  <c r="D194" i="12"/>
  <c r="C194" i="12"/>
  <c r="Q193" i="12"/>
  <c r="P193" i="12"/>
  <c r="D193" i="12"/>
  <c r="C193" i="12"/>
  <c r="Q192" i="12"/>
  <c r="P192" i="12"/>
  <c r="D192" i="12"/>
  <c r="C192" i="12"/>
  <c r="Q191" i="12"/>
  <c r="P191" i="12"/>
  <c r="D191" i="12"/>
  <c r="C191" i="12"/>
  <c r="P190" i="12"/>
  <c r="Q190" i="12" s="1"/>
  <c r="D190" i="12"/>
  <c r="C190" i="12"/>
  <c r="Q189" i="12"/>
  <c r="P189" i="12"/>
  <c r="D189" i="12"/>
  <c r="C189" i="12"/>
  <c r="P188" i="12"/>
  <c r="Q188" i="12" s="1"/>
  <c r="D188" i="12"/>
  <c r="C188" i="12"/>
  <c r="P187" i="12"/>
  <c r="Q187" i="12" s="1"/>
  <c r="D187" i="12"/>
  <c r="C187" i="12"/>
  <c r="Q186" i="12"/>
  <c r="P186" i="12"/>
  <c r="D186" i="12"/>
  <c r="C186" i="12"/>
  <c r="Q185" i="12"/>
  <c r="P185" i="12"/>
  <c r="D185" i="12"/>
  <c r="C185" i="12"/>
  <c r="P184" i="12"/>
  <c r="Q184" i="12" s="1"/>
  <c r="D184" i="12"/>
  <c r="C184" i="12"/>
  <c r="P183" i="12"/>
  <c r="Q183" i="12" s="1"/>
  <c r="D183" i="12"/>
  <c r="C183" i="12"/>
  <c r="Q182" i="12"/>
  <c r="P182" i="12"/>
  <c r="D182" i="12"/>
  <c r="C182" i="12"/>
  <c r="Q181" i="12"/>
  <c r="P181" i="12"/>
  <c r="D181" i="12"/>
  <c r="C181" i="12"/>
  <c r="P180" i="12"/>
  <c r="Q180" i="12" s="1"/>
  <c r="D180" i="12"/>
  <c r="C180" i="12"/>
  <c r="Q179" i="12"/>
  <c r="P179" i="12"/>
  <c r="D179" i="12"/>
  <c r="C179" i="12"/>
  <c r="Q178" i="12"/>
  <c r="P178" i="12"/>
  <c r="D178" i="12"/>
  <c r="C178" i="12"/>
  <c r="P177" i="12"/>
  <c r="Q177" i="12" s="1"/>
  <c r="D177" i="12"/>
  <c r="C177" i="12"/>
  <c r="P176" i="12"/>
  <c r="Q176" i="12" s="1"/>
  <c r="D176" i="12"/>
  <c r="C176" i="12"/>
  <c r="P175" i="12"/>
  <c r="Q175" i="12" s="1"/>
  <c r="D175" i="12"/>
  <c r="C175" i="12"/>
  <c r="Q174" i="12"/>
  <c r="P174" i="12"/>
  <c r="D174" i="12"/>
  <c r="C174" i="12"/>
  <c r="P173" i="12"/>
  <c r="Q173" i="12" s="1"/>
  <c r="D173" i="12"/>
  <c r="C173" i="12"/>
  <c r="P172" i="12"/>
  <c r="Q172" i="12" s="1"/>
  <c r="D172" i="12"/>
  <c r="C172" i="12"/>
  <c r="P171" i="12"/>
  <c r="Q171" i="12" s="1"/>
  <c r="D171" i="12"/>
  <c r="C171" i="12"/>
  <c r="Q170" i="12"/>
  <c r="P170" i="12"/>
  <c r="D170" i="12"/>
  <c r="C170" i="12"/>
  <c r="P169" i="12"/>
  <c r="Q169" i="12" s="1"/>
  <c r="D169" i="12"/>
  <c r="C169" i="12"/>
  <c r="P168" i="12"/>
  <c r="Q168" i="12" s="1"/>
  <c r="D168" i="12"/>
  <c r="C168" i="12"/>
  <c r="Q167" i="12"/>
  <c r="P167" i="12"/>
  <c r="D167" i="12"/>
  <c r="C167" i="12"/>
  <c r="P166" i="12"/>
  <c r="Q166" i="12" s="1"/>
  <c r="D166" i="12"/>
  <c r="C166" i="12"/>
  <c r="Q165" i="12"/>
  <c r="P165" i="12"/>
  <c r="D165" i="12"/>
  <c r="C165" i="12"/>
  <c r="Q164" i="12"/>
  <c r="P164" i="12"/>
  <c r="D164" i="12"/>
  <c r="C164" i="12"/>
  <c r="P163" i="12"/>
  <c r="Q163" i="12" s="1"/>
  <c r="D163" i="12"/>
  <c r="C163" i="12"/>
  <c r="P162" i="12"/>
  <c r="Q162" i="12" s="1"/>
  <c r="D162" i="12"/>
  <c r="C162" i="12"/>
  <c r="P161" i="12"/>
  <c r="Q161" i="12" s="1"/>
  <c r="D161" i="12"/>
  <c r="C161" i="12"/>
  <c r="P160" i="12"/>
  <c r="Q160" i="12" s="1"/>
  <c r="D160" i="12"/>
  <c r="C160" i="12"/>
  <c r="Q159" i="12"/>
  <c r="P159" i="12"/>
  <c r="D159" i="12"/>
  <c r="C159" i="12"/>
  <c r="Q158" i="12"/>
  <c r="P158" i="12"/>
  <c r="D158" i="12"/>
  <c r="C158" i="12"/>
  <c r="P157" i="12"/>
  <c r="Q157" i="12" s="1"/>
  <c r="D157" i="12"/>
  <c r="C157" i="12"/>
  <c r="P156" i="12"/>
  <c r="Q156" i="12" s="1"/>
  <c r="D156" i="12"/>
  <c r="C156" i="12"/>
  <c r="Q155" i="12"/>
  <c r="P155" i="12"/>
  <c r="D155" i="12"/>
  <c r="C155" i="12"/>
  <c r="P154" i="12"/>
  <c r="Q154" i="12" s="1"/>
  <c r="D154" i="12"/>
  <c r="C154" i="12"/>
  <c r="Q153" i="12"/>
  <c r="P153" i="12"/>
  <c r="D153" i="12"/>
  <c r="C153" i="12"/>
  <c r="P152" i="12"/>
  <c r="Q152" i="12" s="1"/>
  <c r="D152" i="12"/>
  <c r="C152" i="12"/>
  <c r="P151" i="12"/>
  <c r="Q151" i="12" s="1"/>
  <c r="D151" i="12"/>
  <c r="C151" i="12"/>
  <c r="P150" i="12"/>
  <c r="Q150" i="12" s="1"/>
  <c r="D150" i="12"/>
  <c r="C150" i="12"/>
  <c r="P149" i="12"/>
  <c r="Q149" i="12" s="1"/>
  <c r="D149" i="12"/>
  <c r="C149" i="12"/>
  <c r="P148" i="12"/>
  <c r="Q148" i="12" s="1"/>
  <c r="D148" i="12"/>
  <c r="C148" i="12"/>
  <c r="P147" i="12"/>
  <c r="Q147" i="12" s="1"/>
  <c r="D147" i="12"/>
  <c r="C147" i="12"/>
  <c r="Q146" i="12"/>
  <c r="P146" i="12"/>
  <c r="D146" i="12"/>
  <c r="C146" i="12"/>
  <c r="Q145" i="12"/>
  <c r="P145" i="12"/>
  <c r="D145" i="12"/>
  <c r="C145" i="12"/>
  <c r="P144" i="12"/>
  <c r="Q144" i="12" s="1"/>
  <c r="D144" i="12"/>
  <c r="C144" i="12"/>
  <c r="Q143" i="12"/>
  <c r="P143" i="12"/>
  <c r="D143" i="12"/>
  <c r="C143" i="12"/>
  <c r="P142" i="12"/>
  <c r="Q142" i="12" s="1"/>
  <c r="D142" i="12"/>
  <c r="C142" i="12"/>
  <c r="P141" i="12"/>
  <c r="Q141" i="12" s="1"/>
  <c r="D141" i="12"/>
  <c r="C141" i="12"/>
  <c r="P140" i="12"/>
  <c r="Q140" i="12" s="1"/>
  <c r="D140" i="12"/>
  <c r="C140" i="12"/>
  <c r="P139" i="12"/>
  <c r="Q139" i="12" s="1"/>
  <c r="D139" i="12"/>
  <c r="C139" i="12"/>
  <c r="Q138" i="12"/>
  <c r="P138" i="12"/>
  <c r="D138" i="12"/>
  <c r="C138" i="12"/>
  <c r="P137" i="12"/>
  <c r="Q137" i="12" s="1"/>
  <c r="D137" i="12"/>
  <c r="C137" i="12"/>
  <c r="P136" i="12"/>
  <c r="Q136" i="12" s="1"/>
  <c r="D136" i="12"/>
  <c r="C136" i="12"/>
  <c r="Q135" i="12"/>
  <c r="P135" i="12"/>
  <c r="D135" i="12"/>
  <c r="C135" i="12"/>
  <c r="Q134" i="12"/>
  <c r="P134" i="12"/>
  <c r="D134" i="12"/>
  <c r="C134" i="12"/>
  <c r="P133" i="12"/>
  <c r="Q133" i="12" s="1"/>
  <c r="D133" i="12"/>
  <c r="C133" i="12"/>
  <c r="P132" i="12"/>
  <c r="Q132" i="12" s="1"/>
  <c r="D132" i="12"/>
  <c r="C132" i="12"/>
  <c r="Q131" i="12"/>
  <c r="P131" i="12"/>
  <c r="D131" i="12"/>
  <c r="C131" i="12"/>
  <c r="P130" i="12"/>
  <c r="Q130" i="12" s="1"/>
  <c r="D130" i="12"/>
  <c r="C130" i="12"/>
  <c r="P129" i="12"/>
  <c r="Q129" i="12" s="1"/>
  <c r="D129" i="12"/>
  <c r="C129" i="12"/>
  <c r="P128" i="12"/>
  <c r="Q128" i="12" s="1"/>
  <c r="D128" i="12"/>
  <c r="C128" i="12"/>
  <c r="P127" i="12"/>
  <c r="Q127" i="12" s="1"/>
  <c r="D127" i="12"/>
  <c r="C127" i="12"/>
  <c r="P126" i="12"/>
  <c r="Q126" i="12" s="1"/>
  <c r="D126" i="12"/>
  <c r="C126" i="12"/>
  <c r="P125" i="12"/>
  <c r="Q125" i="12" s="1"/>
  <c r="D125" i="12"/>
  <c r="C125" i="12"/>
  <c r="P124" i="12"/>
  <c r="Q124" i="12" s="1"/>
  <c r="D124" i="12"/>
  <c r="C124" i="12"/>
  <c r="Q123" i="12"/>
  <c r="P123" i="12"/>
  <c r="D123" i="12"/>
  <c r="C123" i="12"/>
  <c r="Q122" i="12"/>
  <c r="P122" i="12"/>
  <c r="D122" i="12"/>
  <c r="C122" i="12"/>
  <c r="Q121" i="12"/>
  <c r="P121" i="12"/>
  <c r="D121" i="12"/>
  <c r="C121" i="12"/>
  <c r="Q120" i="12"/>
  <c r="P120" i="12"/>
  <c r="D120" i="12"/>
  <c r="C120" i="12"/>
  <c r="Q119" i="12"/>
  <c r="P119" i="12"/>
  <c r="D119" i="12"/>
  <c r="C119" i="12"/>
  <c r="P118" i="12"/>
  <c r="Q118" i="12" s="1"/>
  <c r="D118" i="12"/>
  <c r="C118" i="12"/>
  <c r="Q117" i="12"/>
  <c r="P117" i="12"/>
  <c r="D117" i="12"/>
  <c r="C117" i="12"/>
  <c r="P116" i="12"/>
  <c r="Q116" i="12" s="1"/>
  <c r="D116" i="12"/>
  <c r="C116" i="12"/>
  <c r="P115" i="12"/>
  <c r="Q115" i="12" s="1"/>
  <c r="D115" i="12"/>
  <c r="C115" i="12"/>
  <c r="Q114" i="12"/>
  <c r="P114" i="12"/>
  <c r="D114" i="12"/>
  <c r="C114" i="12"/>
  <c r="Q113" i="12"/>
  <c r="P113" i="12"/>
  <c r="D113" i="12"/>
  <c r="C113" i="12"/>
  <c r="P112" i="12"/>
  <c r="Q112" i="12" s="1"/>
  <c r="D112" i="12"/>
  <c r="C112" i="12"/>
  <c r="P111" i="12"/>
  <c r="Q111" i="12" s="1"/>
  <c r="D111" i="12"/>
  <c r="C111" i="12"/>
  <c r="Q110" i="12"/>
  <c r="P110" i="12"/>
  <c r="D110" i="12"/>
  <c r="C110" i="12"/>
  <c r="Q109" i="12"/>
  <c r="P109" i="12"/>
  <c r="D109" i="12"/>
  <c r="C109" i="12"/>
  <c r="P108" i="12"/>
  <c r="Q108" i="12" s="1"/>
  <c r="D108" i="12"/>
  <c r="C108" i="12"/>
  <c r="Q107" i="12"/>
  <c r="P107" i="12"/>
  <c r="D107" i="12"/>
  <c r="C107" i="12"/>
  <c r="Q106" i="12"/>
  <c r="P106" i="12"/>
  <c r="D106" i="12"/>
  <c r="C106" i="12"/>
  <c r="P105" i="12"/>
  <c r="Q105" i="12" s="1"/>
  <c r="D105" i="12"/>
  <c r="C105" i="12"/>
  <c r="P104" i="12"/>
  <c r="Q104" i="12" s="1"/>
  <c r="D104" i="12"/>
  <c r="C104" i="12"/>
  <c r="P103" i="12"/>
  <c r="Q103" i="12" s="1"/>
  <c r="D103" i="12"/>
  <c r="C103" i="12"/>
  <c r="Q102" i="12"/>
  <c r="P102" i="12"/>
  <c r="D102" i="12"/>
  <c r="C102" i="12"/>
  <c r="P101" i="12"/>
  <c r="Q101" i="12" s="1"/>
  <c r="D101" i="12"/>
  <c r="C101" i="12"/>
  <c r="P100" i="12"/>
  <c r="Q100" i="12" s="1"/>
  <c r="D100" i="12"/>
  <c r="C100" i="12"/>
  <c r="P99" i="12"/>
  <c r="Q99" i="12" s="1"/>
  <c r="D99" i="12"/>
  <c r="C99" i="12"/>
  <c r="Q98" i="12"/>
  <c r="P98" i="12"/>
  <c r="D98" i="12"/>
  <c r="C98" i="12"/>
  <c r="P97" i="12"/>
  <c r="Q97" i="12" s="1"/>
  <c r="D97" i="12"/>
  <c r="C97" i="12"/>
  <c r="P96" i="12"/>
  <c r="Q96" i="12" s="1"/>
  <c r="D96" i="12"/>
  <c r="C96" i="12"/>
  <c r="Q95" i="12"/>
  <c r="P95" i="12"/>
  <c r="D95" i="12"/>
  <c r="C95" i="12"/>
  <c r="P94" i="12"/>
  <c r="Q94" i="12" s="1"/>
  <c r="D94" i="12"/>
  <c r="C94" i="12"/>
  <c r="Q93" i="12"/>
  <c r="P93" i="12"/>
  <c r="D93" i="12"/>
  <c r="C93" i="12"/>
  <c r="Q92" i="12"/>
  <c r="P92" i="12"/>
  <c r="D92" i="12"/>
  <c r="C92" i="12"/>
  <c r="P91" i="12"/>
  <c r="Q91" i="12" s="1"/>
  <c r="D91" i="12"/>
  <c r="C91" i="12"/>
  <c r="P90" i="12"/>
  <c r="Q90" i="12" s="1"/>
  <c r="D90" i="12"/>
  <c r="C90" i="12"/>
  <c r="P89" i="12"/>
  <c r="Q89" i="12" s="1"/>
  <c r="D89" i="12"/>
  <c r="C89" i="12"/>
  <c r="P88" i="12"/>
  <c r="Q88" i="12" s="1"/>
  <c r="D88" i="12"/>
  <c r="C88" i="12"/>
  <c r="Q87" i="12"/>
  <c r="P87" i="12"/>
  <c r="D87" i="12"/>
  <c r="C87" i="12"/>
  <c r="Q86" i="12"/>
  <c r="P86" i="12"/>
  <c r="D86" i="12"/>
  <c r="C86" i="12"/>
  <c r="P85" i="12"/>
  <c r="Q85" i="12" s="1"/>
  <c r="D85" i="12"/>
  <c r="C85" i="12"/>
  <c r="P84" i="12"/>
  <c r="Q84" i="12" s="1"/>
  <c r="D84" i="12"/>
  <c r="C84" i="12"/>
  <c r="Q83" i="12"/>
  <c r="P83" i="12"/>
  <c r="D83" i="12"/>
  <c r="C83" i="12"/>
  <c r="P82" i="12"/>
  <c r="Q82" i="12" s="1"/>
  <c r="D82" i="12"/>
  <c r="C82" i="12"/>
  <c r="Q81" i="12"/>
  <c r="P81" i="12"/>
  <c r="D81" i="12"/>
  <c r="C81" i="12"/>
  <c r="P80" i="12"/>
  <c r="Q80" i="12" s="1"/>
  <c r="D80" i="12"/>
  <c r="C80" i="12"/>
  <c r="P79" i="12"/>
  <c r="Q79" i="12" s="1"/>
  <c r="D79" i="12"/>
  <c r="C79" i="12"/>
  <c r="P78" i="12"/>
  <c r="Q78" i="12" s="1"/>
  <c r="D78" i="12"/>
  <c r="C78" i="12"/>
  <c r="P77" i="12"/>
  <c r="Q77" i="12" s="1"/>
  <c r="D77" i="12"/>
  <c r="C77" i="12"/>
  <c r="P76" i="12"/>
  <c r="Q76" i="12" s="1"/>
  <c r="D76" i="12"/>
  <c r="C76" i="12"/>
  <c r="P75" i="12"/>
  <c r="Q75" i="12" s="1"/>
  <c r="D75" i="12"/>
  <c r="C75" i="12"/>
  <c r="Q74" i="12"/>
  <c r="P74" i="12"/>
  <c r="D74" i="12"/>
  <c r="C74" i="12"/>
  <c r="Q73" i="12"/>
  <c r="P73" i="12"/>
  <c r="D73" i="12"/>
  <c r="C73" i="12"/>
  <c r="P72" i="12"/>
  <c r="Q72" i="12" s="1"/>
  <c r="D72" i="12"/>
  <c r="C72" i="12"/>
  <c r="Q71" i="12"/>
  <c r="P71" i="12"/>
  <c r="D71" i="12"/>
  <c r="C71" i="12"/>
  <c r="P70" i="12"/>
  <c r="Q70" i="12" s="1"/>
  <c r="D70" i="12"/>
  <c r="C70" i="12"/>
  <c r="P69" i="12"/>
  <c r="Q69" i="12" s="1"/>
  <c r="D69" i="12"/>
  <c r="C69" i="12"/>
  <c r="P68" i="12"/>
  <c r="Q68" i="12" s="1"/>
  <c r="D68" i="12"/>
  <c r="C68" i="12"/>
  <c r="P67" i="12"/>
  <c r="Q67" i="12" s="1"/>
  <c r="D67" i="12"/>
  <c r="C67" i="12"/>
  <c r="Q66" i="12"/>
  <c r="P66" i="12"/>
  <c r="D66" i="12"/>
  <c r="C66" i="12"/>
  <c r="P65" i="12"/>
  <c r="Q65" i="12" s="1"/>
  <c r="D65" i="12"/>
  <c r="C65" i="12"/>
  <c r="P64" i="12"/>
  <c r="Q64" i="12" s="1"/>
  <c r="D64" i="12"/>
  <c r="C64" i="12"/>
  <c r="Q63" i="12"/>
  <c r="P63" i="12"/>
  <c r="D63" i="12"/>
  <c r="C63" i="12"/>
  <c r="Q62" i="12"/>
  <c r="P62" i="12"/>
  <c r="D62" i="12"/>
  <c r="C62" i="12"/>
  <c r="P61" i="12"/>
  <c r="Q61" i="12" s="1"/>
  <c r="D61" i="12"/>
  <c r="C61" i="12"/>
  <c r="P60" i="12"/>
  <c r="Q60" i="12" s="1"/>
  <c r="D60" i="12"/>
  <c r="C60" i="12"/>
  <c r="Q59" i="12"/>
  <c r="P59" i="12"/>
  <c r="D59" i="12"/>
  <c r="C59" i="12"/>
  <c r="P58" i="12"/>
  <c r="Q58" i="12" s="1"/>
  <c r="D58" i="12"/>
  <c r="C58" i="12"/>
  <c r="P57" i="12"/>
  <c r="Q57" i="12" s="1"/>
  <c r="D57" i="12"/>
  <c r="C57" i="12"/>
  <c r="P56" i="12"/>
  <c r="Q56" i="12" s="1"/>
  <c r="D56" i="12"/>
  <c r="C56" i="12"/>
  <c r="P55" i="12"/>
  <c r="Q55" i="12" s="1"/>
  <c r="D55" i="12"/>
  <c r="C55" i="12"/>
  <c r="P54" i="12"/>
  <c r="Q54" i="12" s="1"/>
  <c r="D54" i="12"/>
  <c r="C54" i="12"/>
  <c r="P53" i="12"/>
  <c r="Q53" i="12" s="1"/>
  <c r="D53" i="12"/>
  <c r="C53" i="12"/>
  <c r="P52" i="12"/>
  <c r="Q52" i="12" s="1"/>
  <c r="D52" i="12"/>
  <c r="C52" i="12"/>
  <c r="P51" i="12"/>
  <c r="Q51" i="12" s="1"/>
  <c r="D51" i="12"/>
  <c r="C51" i="12"/>
  <c r="Q50" i="12"/>
  <c r="P50" i="12"/>
  <c r="D50" i="12"/>
  <c r="C50" i="12"/>
  <c r="Q49" i="12"/>
  <c r="P49" i="12"/>
  <c r="D49" i="12"/>
  <c r="C49" i="12"/>
  <c r="Q48" i="12"/>
  <c r="P48" i="12"/>
  <c r="D48" i="12"/>
  <c r="C48" i="12"/>
  <c r="Q47" i="12"/>
  <c r="P47" i="12"/>
  <c r="D47" i="12"/>
  <c r="C47" i="12"/>
  <c r="P46" i="12"/>
  <c r="Q46" i="12" s="1"/>
  <c r="D46" i="12"/>
  <c r="C46" i="12"/>
  <c r="Q45" i="12"/>
  <c r="P45" i="12"/>
  <c r="D45" i="12"/>
  <c r="C45" i="12"/>
  <c r="P44" i="12"/>
  <c r="Q44" i="12" s="1"/>
  <c r="D44" i="12"/>
  <c r="C44" i="12"/>
  <c r="P43" i="12"/>
  <c r="Q43" i="12" s="1"/>
  <c r="D43" i="12"/>
  <c r="C43" i="12"/>
  <c r="Q42" i="12"/>
  <c r="P42" i="12"/>
  <c r="D42" i="12"/>
  <c r="C42" i="12"/>
  <c r="Q41" i="12"/>
  <c r="P41" i="12"/>
  <c r="D41" i="12"/>
  <c r="C41" i="12"/>
  <c r="P40" i="12"/>
  <c r="Q40" i="12" s="1"/>
  <c r="D40" i="12"/>
  <c r="C40" i="12"/>
  <c r="P39" i="12"/>
  <c r="Q39" i="12" s="1"/>
  <c r="D39" i="12"/>
  <c r="C39" i="12"/>
  <c r="Q38" i="12"/>
  <c r="P38" i="12"/>
  <c r="D38" i="12"/>
  <c r="C38" i="12"/>
  <c r="P37" i="12"/>
  <c r="Q37" i="12" s="1"/>
  <c r="D37" i="12"/>
  <c r="C37" i="12"/>
  <c r="P36" i="12"/>
  <c r="Q36" i="12" s="1"/>
  <c r="D36" i="12"/>
  <c r="C36" i="12"/>
  <c r="Q35" i="12"/>
  <c r="P35" i="12"/>
  <c r="D35" i="12"/>
  <c r="C35" i="12"/>
  <c r="Q34" i="12"/>
  <c r="P34" i="12"/>
  <c r="D34" i="12"/>
  <c r="C34" i="12"/>
  <c r="P33" i="12"/>
  <c r="Q33" i="12" s="1"/>
  <c r="D33" i="12"/>
  <c r="C33" i="12"/>
  <c r="P32" i="12"/>
  <c r="Q32" i="12" s="1"/>
  <c r="D32" i="12"/>
  <c r="C32" i="12"/>
  <c r="P31" i="12"/>
  <c r="Q31" i="12" s="1"/>
  <c r="D31" i="12"/>
  <c r="C31" i="12"/>
  <c r="P30" i="12"/>
  <c r="Q30" i="12" s="1"/>
  <c r="D30" i="12"/>
  <c r="C30" i="12"/>
  <c r="P29" i="12"/>
  <c r="Q29" i="12" s="1"/>
  <c r="D29" i="12"/>
  <c r="C29" i="12"/>
  <c r="P28" i="12"/>
  <c r="Q28" i="12" s="1"/>
  <c r="D28" i="12"/>
  <c r="C28" i="12"/>
  <c r="P27" i="12"/>
  <c r="Q27" i="12" s="1"/>
  <c r="D27" i="12"/>
  <c r="C27" i="12"/>
  <c r="Q26" i="12"/>
  <c r="P26" i="12"/>
  <c r="D26" i="12"/>
  <c r="C26" i="12"/>
  <c r="P25" i="12"/>
  <c r="Q25" i="12" s="1"/>
  <c r="D25" i="12"/>
  <c r="C25" i="12"/>
  <c r="P24" i="12"/>
  <c r="Q24" i="12" s="1"/>
  <c r="D24" i="12"/>
  <c r="C24" i="12"/>
  <c r="Q23" i="12"/>
  <c r="P23" i="12"/>
  <c r="D23" i="12"/>
  <c r="C23" i="12"/>
  <c r="P22" i="12"/>
  <c r="Q22" i="12" s="1"/>
  <c r="D22" i="12"/>
  <c r="C22" i="12"/>
  <c r="Q21" i="12"/>
  <c r="P21" i="12"/>
  <c r="D21" i="12"/>
  <c r="C21" i="12"/>
  <c r="Q20" i="12"/>
  <c r="P20" i="12"/>
  <c r="D20" i="12"/>
  <c r="C20" i="12"/>
  <c r="P19" i="12"/>
  <c r="Q19" i="12" s="1"/>
  <c r="D19" i="12"/>
  <c r="C19" i="12"/>
  <c r="P18" i="12"/>
  <c r="Q18" i="12" s="1"/>
  <c r="D18" i="12"/>
  <c r="C18" i="12"/>
  <c r="P17" i="12"/>
  <c r="Q17" i="12" s="1"/>
  <c r="D17" i="12"/>
  <c r="C17" i="12"/>
  <c r="P16" i="12"/>
  <c r="Q16" i="12" s="1"/>
  <c r="D16" i="12"/>
  <c r="C16" i="12"/>
  <c r="Q15" i="12"/>
  <c r="P15" i="12"/>
  <c r="D15" i="12"/>
  <c r="C15" i="12"/>
  <c r="Q14" i="12"/>
  <c r="P14" i="12"/>
  <c r="D14" i="12"/>
  <c r="C14" i="12"/>
  <c r="P13" i="12"/>
  <c r="Q13" i="12" s="1"/>
  <c r="D13" i="12"/>
  <c r="C13" i="12"/>
  <c r="P12" i="12"/>
  <c r="Q12" i="12" s="1"/>
  <c r="D12" i="12"/>
  <c r="C12" i="12"/>
  <c r="Q11" i="12"/>
  <c r="P11" i="12"/>
  <c r="D11" i="12"/>
  <c r="C11" i="12"/>
  <c r="P10" i="12"/>
  <c r="Q10" i="12" s="1"/>
  <c r="D10" i="12"/>
  <c r="C10" i="12"/>
  <c r="P9" i="12"/>
  <c r="Q9" i="12" s="1"/>
  <c r="D9" i="12"/>
  <c r="C9" i="12"/>
  <c r="P8" i="12"/>
  <c r="Q8" i="12" s="1"/>
  <c r="D8" i="12"/>
  <c r="C8" i="12"/>
  <c r="P7" i="12"/>
  <c r="Q7" i="12" s="1"/>
  <c r="D7" i="12"/>
  <c r="C7" i="12"/>
  <c r="P6" i="12"/>
  <c r="Q6" i="12" s="1"/>
  <c r="D6" i="12"/>
  <c r="C6" i="12"/>
  <c r="P5" i="12"/>
  <c r="Q5" i="12" s="1"/>
  <c r="D5" i="12"/>
  <c r="C5" i="12"/>
  <c r="P4" i="12"/>
  <c r="Q4" i="12" s="1"/>
  <c r="D4" i="12"/>
  <c r="C4" i="12"/>
  <c r="P3" i="12"/>
  <c r="Q3" i="12" s="1"/>
  <c r="D3" i="12"/>
  <c r="C3" i="12"/>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3" i="1"/>
  <c r="C3" i="9" l="1"/>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3" i="1"/>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alcChain>
</file>

<file path=xl/sharedStrings.xml><?xml version="1.0" encoding="utf-8"?>
<sst xmlns="http://schemas.openxmlformats.org/spreadsheetml/2006/main" count="36258" uniqueCount="9006">
  <si>
    <t>Instructions: Use the value in C2 to select your PEA's CTDS Number</t>
  </si>
  <si>
    <t>CTDS Number:</t>
  </si>
  <si>
    <t xml:space="preserve">PEA Name: </t>
  </si>
  <si>
    <t>Dear Public Education Agency (PEA) Administrator,</t>
  </si>
  <si>
    <t>The Arizona Department of Education Exceptional Student Services team has allocated and contingently awarded, on this date, 03/17/2024, for the following grant(s):</t>
  </si>
  <si>
    <t>Funding Application Name:</t>
  </si>
  <si>
    <t>IDEA Part B Section 611- Subgrants to LEAs</t>
  </si>
  <si>
    <t>Current Year Award Amount:</t>
  </si>
  <si>
    <t xml:space="preserve">Total Section 611 Funds Available Fiscal Year: </t>
  </si>
  <si>
    <t>Assistance Listing Number (ALN) - Formerly CFDA:</t>
  </si>
  <si>
    <t>84.027A</t>
  </si>
  <si>
    <t>FAIN:</t>
  </si>
  <si>
    <t>H027A230616</t>
  </si>
  <si>
    <t>Awarding Agency:</t>
  </si>
  <si>
    <t>US Department of Education</t>
  </si>
  <si>
    <t>Period of Availability:</t>
  </si>
  <si>
    <t>The award may be used from 7/1/2023 through 9/30/2024.</t>
  </si>
  <si>
    <t>Total Grant Award Amount:</t>
  </si>
  <si>
    <t>Grant Description:</t>
  </si>
  <si>
    <t>Section 611-Subgrants to LEAs</t>
  </si>
  <si>
    <t>Program Director/Grant Coordinator:</t>
  </si>
  <si>
    <t>Alissa Trollinger</t>
  </si>
  <si>
    <t>Contact Phone:</t>
  </si>
  <si>
    <t>602-542-403</t>
  </si>
  <si>
    <t>Contact Email:</t>
  </si>
  <si>
    <t>essinbox@azed.gov</t>
  </si>
  <si>
    <t xml:space="preserve">Funding Application: </t>
  </si>
  <si>
    <t>IDEA Part B Entitlement</t>
  </si>
  <si>
    <t>UEI:</t>
  </si>
  <si>
    <t>Indirect Cost Rate:</t>
  </si>
  <si>
    <t>Award Contingencies</t>
  </si>
  <si>
    <t>The award is subject to adjustments and other notification from the Arizona Department of Education (DEPARTMENT) throughout the period of the award and at the Department. The award and access to the grant funds is contingent upon the applicant submitting, and receiving approval by the Department, a complete application and/or plan within the Department’s Grants Management Enterprise (GME) System, and shall include any necessary data, information, budget details and a certification that the award recipient has read and will adhere to all applicable and required grant assurances. The grant is not for R&amp;D purposes.</t>
  </si>
  <si>
    <t>Application Submission and Substantial Approval Date</t>
  </si>
  <si>
    <t>The completed application must be submitted into the GME before June 30, 2023 (or appropriate date) to be considered for a substantial approval date of 7/1/2023. The substantial approval date signifies the first date the grant funds may be expensed for allowable costs. Incomplete applications or late submissions will delay the substantial approval date to the date at which the complete application was submitted to LEA Authorized Representative Approved status. The IDEA Part B grants require four criteria to be met to receive Substantial Approval:</t>
  </si>
  <si>
    <r>
      <t>·</t>
    </r>
    <r>
      <rPr>
        <sz val="7"/>
        <color theme="1"/>
        <rFont val="Times New Roman"/>
        <family val="1"/>
      </rPr>
      <t xml:space="preserve">       </t>
    </r>
    <r>
      <rPr>
        <sz val="11"/>
        <color theme="1"/>
        <rFont val="Calibri"/>
        <family val="2"/>
        <scheme val="minor"/>
      </rPr>
      <t>General Statement of Assurances accepted by ADE Grants Management</t>
    </r>
  </si>
  <si>
    <r>
      <t>·</t>
    </r>
    <r>
      <rPr>
        <sz val="7"/>
        <color theme="1"/>
        <rFont val="Times New Roman"/>
        <family val="1"/>
      </rPr>
      <t xml:space="preserve">       </t>
    </r>
    <r>
      <rPr>
        <sz val="11"/>
        <color theme="1"/>
        <rFont val="Calibri"/>
        <family val="2"/>
        <scheme val="minor"/>
      </rPr>
      <t>IDEA Statement of Assurances signed by a Charter Holder, Superintendent, or Special Education Director by June 15, 2023, who is not contracted and employed by the PEA</t>
    </r>
  </si>
  <si>
    <r>
      <t>·</t>
    </r>
    <r>
      <rPr>
        <sz val="7"/>
        <color theme="1"/>
        <rFont val="Times New Roman"/>
        <family val="1"/>
      </rPr>
      <t xml:space="preserve">       </t>
    </r>
    <r>
      <rPr>
        <sz val="11"/>
        <color theme="1"/>
        <rFont val="Calibri"/>
        <family val="2"/>
        <scheme val="minor"/>
      </rPr>
      <t>Complete IDEA Part B Grant submitted by 7/1/2023</t>
    </r>
  </si>
  <si>
    <r>
      <t>·</t>
    </r>
    <r>
      <rPr>
        <sz val="7"/>
        <color theme="1"/>
        <rFont val="Times New Roman"/>
        <family val="1"/>
      </rPr>
      <t xml:space="preserve">       </t>
    </r>
    <r>
      <rPr>
        <sz val="11"/>
        <color theme="1"/>
        <rFont val="Calibri"/>
        <family val="2"/>
        <scheme val="minor"/>
      </rPr>
      <t>IDEA Maintenance of Effort Eligibility test closed and met by 8/15/2023</t>
    </r>
  </si>
  <si>
    <t>Availability to Request Funds After Final Application Approval</t>
  </si>
  <si>
    <t>Once a complete application is submitted, the Department will review the application, approve the application, or return the application for additional information. Once the application is approved by the Department, the award recipient will receive a History Log Comment indicating Substantial Approval Date in the funding application. The Substantial Approval Date signifies the date the grantee may begin requesting funds from the Department for allowable grant costs. All Reimbursement Requests (RRs) and Completion Reports (CRs) associated with this grant must be submitted through the GME. Assistance with RRs, and CRs as well as other helpful information are available in the GME Resource Library. ESS Program Management can also provide technical assistance for new grantees.</t>
  </si>
  <si>
    <t>Grant Related Correspondence</t>
  </si>
  <si>
    <t>Please be certain to review and address any specific grant requirements. Communication about the grant will come from and be maintained in the GME History Log. Contact the ADE/ESS Program Management team at essprogmgmt@azed.gov for any questions regarding this grant.</t>
  </si>
  <si>
    <t>Deputy Associate Superintendent, Exceptional Student Services</t>
  </si>
  <si>
    <t>IDEA Part B Section 619-Prechool Subgrants to LEAs</t>
  </si>
  <si>
    <t xml:space="preserve">Total Section 619 Funds Available Fiscal Year: </t>
  </si>
  <si>
    <t>84.173A</t>
  </si>
  <si>
    <t>H173A230003</t>
  </si>
  <si>
    <t>Section 619-Preschool Subgrants to LEAs</t>
  </si>
  <si>
    <t>Column1</t>
  </si>
  <si>
    <t>108734000</t>
  </si>
  <si>
    <t>078242000</t>
  </si>
  <si>
    <t>078270000</t>
  </si>
  <si>
    <t>108713000</t>
  </si>
  <si>
    <t>108665000</t>
  </si>
  <si>
    <t>078701000</t>
  </si>
  <si>
    <t>138760000</t>
  </si>
  <si>
    <t>070363000</t>
  </si>
  <si>
    <t>100215000</t>
  </si>
  <si>
    <t>118705000</t>
  </si>
  <si>
    <t>070468000</t>
  </si>
  <si>
    <t>010307000</t>
  </si>
  <si>
    <t>100351000</t>
  </si>
  <si>
    <t>078725000</t>
  </si>
  <si>
    <t>100210000</t>
  </si>
  <si>
    <t>078525000</t>
  </si>
  <si>
    <t>020342000</t>
  </si>
  <si>
    <t>110243000</t>
  </si>
  <si>
    <t>108785000</t>
  </si>
  <si>
    <t>118721000</t>
  </si>
  <si>
    <t>078247000</t>
  </si>
  <si>
    <t>078597000</t>
  </si>
  <si>
    <t>078248000</t>
  </si>
  <si>
    <t>078406000</t>
  </si>
  <si>
    <t>078234000</t>
  </si>
  <si>
    <t>078214000</t>
  </si>
  <si>
    <t>078590000</t>
  </si>
  <si>
    <t>078470000</t>
  </si>
  <si>
    <t>078595000</t>
  </si>
  <si>
    <t>078596000</t>
  </si>
  <si>
    <t>078226000</t>
  </si>
  <si>
    <t>078644000</t>
  </si>
  <si>
    <t>108709000</t>
  </si>
  <si>
    <t>078511000</t>
  </si>
  <si>
    <t>078582000</t>
  </si>
  <si>
    <t>078260000</t>
  </si>
  <si>
    <t>078696000</t>
  </si>
  <si>
    <t>001202000</t>
  </si>
  <si>
    <t>070447000</t>
  </si>
  <si>
    <t>020453000</t>
  </si>
  <si>
    <t>130231000</t>
  </si>
  <si>
    <t>078205000</t>
  </si>
  <si>
    <t>078267000</t>
  </si>
  <si>
    <t>078546000</t>
  </si>
  <si>
    <t>078284000</t>
  </si>
  <si>
    <t>070444000</t>
  </si>
  <si>
    <t>100240000</t>
  </si>
  <si>
    <t>130220000</t>
  </si>
  <si>
    <t>078988000</t>
  </si>
  <si>
    <t>078987000</t>
  </si>
  <si>
    <t>078586000</t>
  </si>
  <si>
    <t>070431000</t>
  </si>
  <si>
    <t>038707000</t>
  </si>
  <si>
    <t>078225000</t>
  </si>
  <si>
    <t>078231000</t>
  </si>
  <si>
    <t>078236000</t>
  </si>
  <si>
    <t>078268000</t>
  </si>
  <si>
    <t>078272000</t>
  </si>
  <si>
    <t>078273000</t>
  </si>
  <si>
    <t>078282000</t>
  </si>
  <si>
    <t>078283000</t>
  </si>
  <si>
    <t>078288000</t>
  </si>
  <si>
    <t>078418000</t>
  </si>
  <si>
    <t>108404000</t>
  </si>
  <si>
    <t>108725000</t>
  </si>
  <si>
    <t>138786000</t>
  </si>
  <si>
    <t>130326000</t>
  </si>
  <si>
    <t>078972000</t>
  </si>
  <si>
    <t>078766000</t>
  </si>
  <si>
    <t>078754000</t>
  </si>
  <si>
    <t>020209000</t>
  </si>
  <si>
    <t>020202000</t>
  </si>
  <si>
    <t>090232000</t>
  </si>
  <si>
    <t>050316000</t>
  </si>
  <si>
    <t>150426000</t>
  </si>
  <si>
    <t>020214000</t>
  </si>
  <si>
    <t>070433000</t>
  </si>
  <si>
    <t>080415000</t>
  </si>
  <si>
    <t>078564000</t>
  </si>
  <si>
    <t>098749000</t>
  </si>
  <si>
    <t>078909000</t>
  </si>
  <si>
    <t>078768000</t>
  </si>
  <si>
    <t>078959000</t>
  </si>
  <si>
    <t>130228000</t>
  </si>
  <si>
    <t>078534000</t>
  </si>
  <si>
    <t>078639000</t>
  </si>
  <si>
    <t>130350000</t>
  </si>
  <si>
    <t>108777000</t>
  </si>
  <si>
    <t>078524000</t>
  </si>
  <si>
    <t>070483000</t>
  </si>
  <si>
    <t>078218000</t>
  </si>
  <si>
    <t>110404000</t>
  </si>
  <si>
    <t>100216000</t>
  </si>
  <si>
    <t>078991000</t>
  </si>
  <si>
    <t>070293000</t>
  </si>
  <si>
    <t>090225000</t>
  </si>
  <si>
    <t>028750000</t>
  </si>
  <si>
    <t>078772000</t>
  </si>
  <si>
    <t>078957000</t>
  </si>
  <si>
    <t>070280000</t>
  </si>
  <si>
    <t>010224000</t>
  </si>
  <si>
    <t>130251000</t>
  </si>
  <si>
    <t>078549000</t>
  </si>
  <si>
    <t>078995000</t>
  </si>
  <si>
    <t>130403000</t>
  </si>
  <si>
    <t>028701000</t>
  </si>
  <si>
    <t>020326000</t>
  </si>
  <si>
    <t>108740000</t>
  </si>
  <si>
    <t>080214000</t>
  </si>
  <si>
    <t>010306000</t>
  </si>
  <si>
    <t>078530000</t>
  </si>
  <si>
    <t>130317000</t>
  </si>
  <si>
    <t>100339000</t>
  </si>
  <si>
    <t>110221000</t>
  </si>
  <si>
    <t>130406000</t>
  </si>
  <si>
    <t>078513000</t>
  </si>
  <si>
    <t>140413000</t>
  </si>
  <si>
    <t>070414000</t>
  </si>
  <si>
    <t>078921000</t>
  </si>
  <si>
    <t>078544000</t>
  </si>
  <si>
    <t>108666000</t>
  </si>
  <si>
    <t>108502000</t>
  </si>
  <si>
    <t>108503000</t>
  </si>
  <si>
    <t>078577000</t>
  </si>
  <si>
    <t>070297000</t>
  </si>
  <si>
    <t>078621000</t>
  </si>
  <si>
    <t>108732000</t>
  </si>
  <si>
    <t>088705000</t>
  </si>
  <si>
    <t>138714000</t>
  </si>
  <si>
    <t>048701000</t>
  </si>
  <si>
    <t>058703000</t>
  </si>
  <si>
    <t>020345000</t>
  </si>
  <si>
    <t>020227000</t>
  </si>
  <si>
    <t>060202000</t>
  </si>
  <si>
    <t>070289000</t>
  </si>
  <si>
    <t>078202000</t>
  </si>
  <si>
    <t>078222000</t>
  </si>
  <si>
    <t>078223000</t>
  </si>
  <si>
    <t>078541000</t>
  </si>
  <si>
    <t>078509000</t>
  </si>
  <si>
    <t>108506000</t>
  </si>
  <si>
    <t>078573000</t>
  </si>
  <si>
    <t>138754000</t>
  </si>
  <si>
    <t>078742000</t>
  </si>
  <si>
    <t>078740000</t>
  </si>
  <si>
    <t>078915000</t>
  </si>
  <si>
    <t>078705000</t>
  </si>
  <si>
    <t>078246000</t>
  </si>
  <si>
    <t>138705000</t>
  </si>
  <si>
    <t>078744000</t>
  </si>
  <si>
    <t>078917000</t>
  </si>
  <si>
    <t>108717000</t>
  </si>
  <si>
    <t>020412000</t>
  </si>
  <si>
    <t>110411000</t>
  </si>
  <si>
    <t>078401000</t>
  </si>
  <si>
    <t>078103000</t>
  </si>
  <si>
    <t>078254000</t>
  </si>
  <si>
    <t>078901000</t>
  </si>
  <si>
    <t>078785000</t>
  </si>
  <si>
    <t>038752000</t>
  </si>
  <si>
    <t>038705000</t>
  </si>
  <si>
    <t>030201000</t>
  </si>
  <si>
    <t>110201000</t>
  </si>
  <si>
    <t>100208000</t>
  </si>
  <si>
    <t>020100000</t>
  </si>
  <si>
    <t>050207000</t>
  </si>
  <si>
    <t>070298000</t>
  </si>
  <si>
    <t>070445000</t>
  </si>
  <si>
    <t>078263000</t>
  </si>
  <si>
    <t>138751000</t>
  </si>
  <si>
    <t>030206000</t>
  </si>
  <si>
    <t>078528000</t>
  </si>
  <si>
    <t>078611000</t>
  </si>
  <si>
    <t>140432000</t>
  </si>
  <si>
    <t>010220000</t>
  </si>
  <si>
    <t>078774000</t>
  </si>
  <si>
    <t>078585000</t>
  </si>
  <si>
    <t>070224000</t>
  </si>
  <si>
    <t>070241000</t>
  </si>
  <si>
    <t>038715000</t>
  </si>
  <si>
    <t>070440000</t>
  </si>
  <si>
    <t>070505000</t>
  </si>
  <si>
    <t>040201000</t>
  </si>
  <si>
    <t>030204000</t>
  </si>
  <si>
    <t>108770000</t>
  </si>
  <si>
    <t>108789000</t>
  </si>
  <si>
    <t>080303000</t>
  </si>
  <si>
    <t>078594000</t>
  </si>
  <si>
    <t>078998000</t>
  </si>
  <si>
    <t>148760000</t>
  </si>
  <si>
    <t>038755000</t>
  </si>
  <si>
    <t>040241000</t>
  </si>
  <si>
    <t>078627000</t>
  </si>
  <si>
    <t>090206000</t>
  </si>
  <si>
    <t>078258000</t>
  </si>
  <si>
    <t>078985000</t>
  </si>
  <si>
    <t>108701000</t>
  </si>
  <si>
    <t>108775000</t>
  </si>
  <si>
    <t>070260000</t>
  </si>
  <si>
    <t>130335000</t>
  </si>
  <si>
    <t>078204000</t>
  </si>
  <si>
    <t>090203000</t>
  </si>
  <si>
    <t>078233000</t>
  </si>
  <si>
    <t>130222000</t>
  </si>
  <si>
    <t>140416000</t>
  </si>
  <si>
    <t>078535000</t>
  </si>
  <si>
    <t>078519000</t>
  </si>
  <si>
    <t>078520000</t>
  </si>
  <si>
    <t>078536000</t>
  </si>
  <si>
    <t>078210000</t>
  </si>
  <si>
    <t>070405000</t>
  </si>
  <si>
    <t>110244000</t>
  </si>
  <si>
    <t>090202000</t>
  </si>
  <si>
    <t>148759000</t>
  </si>
  <si>
    <t>078240000</t>
  </si>
  <si>
    <t>128704000</t>
  </si>
  <si>
    <t>078230000</t>
  </si>
  <si>
    <t>078570000</t>
  </si>
  <si>
    <t>078580000</t>
  </si>
  <si>
    <t>078571000</t>
  </si>
  <si>
    <t>078999000</t>
  </si>
  <si>
    <t>078567000</t>
  </si>
  <si>
    <t>078616000</t>
  </si>
  <si>
    <t>090227000</t>
  </si>
  <si>
    <t>108784000</t>
  </si>
  <si>
    <t>078759000</t>
  </si>
  <si>
    <t>088620000</t>
  </si>
  <si>
    <t>080220000</t>
  </si>
  <si>
    <t>130323000</t>
  </si>
  <si>
    <t>070428000</t>
  </si>
  <si>
    <t>138503000</t>
  </si>
  <si>
    <t>080201000</t>
  </si>
  <si>
    <t>070459000</t>
  </si>
  <si>
    <t>078968000</t>
  </si>
  <si>
    <t>118708000</t>
  </si>
  <si>
    <t>078101000</t>
  </si>
  <si>
    <t>078416000</t>
  </si>
  <si>
    <t>118718000</t>
  </si>
  <si>
    <t>078417000</t>
  </si>
  <si>
    <t>078642000</t>
  </si>
  <si>
    <t>078413000</t>
  </si>
  <si>
    <t>108603000</t>
  </si>
  <si>
    <t>078229000</t>
  </si>
  <si>
    <t>078408000</t>
  </si>
  <si>
    <t>078635000</t>
  </si>
  <si>
    <t>078215000</t>
  </si>
  <si>
    <t>118719000</t>
  </si>
  <si>
    <t>078641000</t>
  </si>
  <si>
    <t>078409000</t>
  </si>
  <si>
    <t>108414000</t>
  </si>
  <si>
    <t>078407000</t>
  </si>
  <si>
    <t>078415000</t>
  </si>
  <si>
    <t>118715000</t>
  </si>
  <si>
    <t>078274000</t>
  </si>
  <si>
    <t>078636000</t>
  </si>
  <si>
    <t>078420000</t>
  </si>
  <si>
    <t>108738000</t>
  </si>
  <si>
    <t>070425000</t>
  </si>
  <si>
    <t>138787000</t>
  </si>
  <si>
    <t>078784000</t>
  </si>
  <si>
    <t>070479000</t>
  </si>
  <si>
    <t>078997000</t>
  </si>
  <si>
    <t>080209000</t>
  </si>
  <si>
    <t>070465000</t>
  </si>
  <si>
    <t>070438000</t>
  </si>
  <si>
    <t>030310000</t>
  </si>
  <si>
    <t>110208000</t>
  </si>
  <si>
    <t>100206000</t>
  </si>
  <si>
    <t>110220000</t>
  </si>
  <si>
    <t>110100000</t>
  </si>
  <si>
    <t>078592000</t>
  </si>
  <si>
    <t>088759000</t>
  </si>
  <si>
    <t>108798000</t>
  </si>
  <si>
    <t>130243000</t>
  </si>
  <si>
    <t>010323000</t>
  </si>
  <si>
    <t>020355000</t>
  </si>
  <si>
    <t>070204000</t>
  </si>
  <si>
    <t>128703000</t>
  </si>
  <si>
    <t>040240000</t>
  </si>
  <si>
    <t>078976000</t>
  </si>
  <si>
    <t>078791000</t>
  </si>
  <si>
    <t>138712000</t>
  </si>
  <si>
    <t>070386000</t>
  </si>
  <si>
    <t>088703000</t>
  </si>
  <si>
    <t>080416000</t>
  </si>
  <si>
    <t>140417000</t>
  </si>
  <si>
    <t>078977000</t>
  </si>
  <si>
    <t>078758000</t>
  </si>
  <si>
    <t>078763000</t>
  </si>
  <si>
    <t>060218000</t>
  </si>
  <si>
    <t>078556000</t>
  </si>
  <si>
    <t>078640000</t>
  </si>
  <si>
    <t>070375000</t>
  </si>
  <si>
    <t>138768000</t>
  </si>
  <si>
    <t>038751000</t>
  </si>
  <si>
    <t>070421000</t>
  </si>
  <si>
    <t>020323000</t>
  </si>
  <si>
    <t>070281000</t>
  </si>
  <si>
    <t>078771000</t>
  </si>
  <si>
    <t>078692000</t>
  </si>
  <si>
    <t>078760000</t>
  </si>
  <si>
    <t>078930000</t>
  </si>
  <si>
    <t>078261000</t>
  </si>
  <si>
    <t>120201000</t>
  </si>
  <si>
    <t>108707000</t>
  </si>
  <si>
    <t>028751000</t>
  </si>
  <si>
    <t>110302000</t>
  </si>
  <si>
    <t>070408000</t>
  </si>
  <si>
    <t>080306000</t>
  </si>
  <si>
    <t>078907000</t>
  </si>
  <si>
    <t>030208000</t>
  </si>
  <si>
    <t>038753000</t>
  </si>
  <si>
    <t>138756000</t>
  </si>
  <si>
    <t>070449000</t>
  </si>
  <si>
    <t>070394000</t>
  </si>
  <si>
    <t>020349000</t>
  </si>
  <si>
    <t>078940000</t>
  </si>
  <si>
    <t>070269000</t>
  </si>
  <si>
    <t>078912000</t>
  </si>
  <si>
    <t>150227000</t>
  </si>
  <si>
    <t>120406000</t>
  </si>
  <si>
    <t>128725000</t>
  </si>
  <si>
    <t>078792000</t>
  </si>
  <si>
    <t>040210000</t>
  </si>
  <si>
    <t>080208000</t>
  </si>
  <si>
    <t>020422000</t>
  </si>
  <si>
    <t>070492000</t>
  </si>
  <si>
    <t>070211000</t>
  </si>
  <si>
    <t>070401000</t>
  </si>
  <si>
    <t>078693000</t>
  </si>
  <si>
    <t>110433000</t>
  </si>
  <si>
    <t>050206000</t>
  </si>
  <si>
    <t>038706000</t>
  </si>
  <si>
    <t>040312000</t>
  </si>
  <si>
    <t>090204000</t>
  </si>
  <si>
    <t>078550000</t>
  </si>
  <si>
    <t>078925000</t>
  </si>
  <si>
    <t>020364000</t>
  </si>
  <si>
    <t>108796000</t>
  </si>
  <si>
    <t>130201000</t>
  </si>
  <si>
    <t>078516000</t>
  </si>
  <si>
    <t>108778000</t>
  </si>
  <si>
    <t>150404000</t>
  </si>
  <si>
    <t>070295000</t>
  </si>
  <si>
    <t>110203000</t>
  </si>
  <si>
    <t>010227000</t>
  </si>
  <si>
    <t>110405000</t>
  </si>
  <si>
    <t>078209000</t>
  </si>
  <si>
    <t>078749000</t>
  </si>
  <si>
    <t>078560000</t>
  </si>
  <si>
    <t>078609000</t>
  </si>
  <si>
    <t>070402000</t>
  </si>
  <si>
    <t>070466000</t>
  </si>
  <si>
    <t>078266000</t>
  </si>
  <si>
    <t>078508000</t>
  </si>
  <si>
    <t>010210000</t>
  </si>
  <si>
    <t>110418000</t>
  </si>
  <si>
    <t>070290000</t>
  </si>
  <si>
    <t>050201000</t>
  </si>
  <si>
    <t>078688000</t>
  </si>
  <si>
    <t>100230000</t>
  </si>
  <si>
    <t>150430000</t>
  </si>
  <si>
    <t>040220000</t>
  </si>
  <si>
    <t>100335000</t>
  </si>
  <si>
    <t>020218000</t>
  </si>
  <si>
    <t>078539000</t>
  </si>
  <si>
    <t>010218000</t>
  </si>
  <si>
    <t>120328000</t>
  </si>
  <si>
    <t>128726000</t>
  </si>
  <si>
    <t>120235000</t>
  </si>
  <si>
    <t>078624000</t>
  </si>
  <si>
    <t>108514000</t>
  </si>
  <si>
    <t>078243000</t>
  </si>
  <si>
    <t>070248000</t>
  </si>
  <si>
    <t>138708000</t>
  </si>
  <si>
    <t>130209000</t>
  </si>
  <si>
    <t>078256000</t>
  </si>
  <si>
    <t>130240000</t>
  </si>
  <si>
    <t>070371000</t>
  </si>
  <si>
    <t>090210000</t>
  </si>
  <si>
    <t>020268000</t>
  </si>
  <si>
    <t>130315000</t>
  </si>
  <si>
    <t>138752000</t>
  </si>
  <si>
    <t>078625000</t>
  </si>
  <si>
    <t>090205000</t>
  </si>
  <si>
    <t>050305000</t>
  </si>
  <si>
    <t>078622000</t>
  </si>
  <si>
    <t>140411000</t>
  </si>
  <si>
    <t>120425000</t>
  </si>
  <si>
    <t>078599000</t>
  </si>
  <si>
    <t>108779000</t>
  </si>
  <si>
    <t>020221000</t>
  </si>
  <si>
    <t>010201000</t>
  </si>
  <si>
    <t>110424000</t>
  </si>
  <si>
    <t>078634000</t>
  </si>
  <si>
    <t>078781000</t>
  </si>
  <si>
    <t>078924000</t>
  </si>
  <si>
    <t>100212000</t>
  </si>
  <si>
    <t>110215000</t>
  </si>
  <si>
    <t>078237000</t>
  </si>
  <si>
    <t>100213000</t>
  </si>
  <si>
    <t>088702000</t>
  </si>
  <si>
    <t>070403000</t>
  </si>
  <si>
    <t>050204000</t>
  </si>
  <si>
    <t>078613000</t>
  </si>
  <si>
    <t>108722000</t>
  </si>
  <si>
    <t>118717000</t>
  </si>
  <si>
    <t>078561000</t>
  </si>
  <si>
    <t>078206000</t>
  </si>
  <si>
    <t>070417000</t>
  </si>
  <si>
    <t>110422000</t>
  </si>
  <si>
    <t>020201000</t>
  </si>
  <si>
    <t>040333000</t>
  </si>
  <si>
    <t>080412000</t>
  </si>
  <si>
    <t>058702000</t>
  </si>
  <si>
    <t>030215000</t>
  </si>
  <si>
    <t>108773000</t>
  </si>
  <si>
    <t>108714000</t>
  </si>
  <si>
    <t>100201000</t>
  </si>
  <si>
    <t>078630000</t>
  </si>
  <si>
    <t>070462000</t>
  </si>
  <si>
    <t>100220000</t>
  </si>
  <si>
    <t>080322000</t>
  </si>
  <si>
    <t>078964000</t>
  </si>
  <si>
    <t>078562000</t>
  </si>
  <si>
    <t>010309000</t>
  </si>
  <si>
    <t>078410000</t>
  </si>
  <si>
    <t>078715000</t>
  </si>
  <si>
    <t>078224000</t>
  </si>
  <si>
    <t>070406000</t>
  </si>
  <si>
    <t>140424000</t>
  </si>
  <si>
    <t>150419000</t>
  </si>
  <si>
    <t>078935000</t>
  </si>
  <si>
    <t>078974000</t>
  </si>
  <si>
    <t>078548000</t>
  </si>
  <si>
    <t>090220000</t>
  </si>
  <si>
    <t>070209000</t>
  </si>
  <si>
    <t>020213000</t>
  </si>
  <si>
    <t>030202000</t>
  </si>
  <si>
    <t>070407000</t>
  </si>
  <si>
    <t>010208000</t>
  </si>
  <si>
    <t>090201000</t>
  </si>
  <si>
    <t>130352000</t>
  </si>
  <si>
    <t>040305000</t>
  </si>
  <si>
    <t>088755000</t>
  </si>
  <si>
    <t>080313000</t>
  </si>
  <si>
    <t>140401000</t>
  </si>
  <si>
    <t>i</t>
  </si>
  <si>
    <t>ii</t>
  </si>
  <si>
    <t>iii</t>
  </si>
  <si>
    <t>iv</t>
  </si>
  <si>
    <t>v</t>
  </si>
  <si>
    <t>vi</t>
  </si>
  <si>
    <t>vii</t>
  </si>
  <si>
    <t>viii</t>
  </si>
  <si>
    <t>ix</t>
  </si>
  <si>
    <t>x</t>
  </si>
  <si>
    <t>xi</t>
  </si>
  <si>
    <t>xii</t>
  </si>
  <si>
    <t>xiii</t>
  </si>
  <si>
    <t>xiv</t>
  </si>
  <si>
    <t>CTDS</t>
  </si>
  <si>
    <t>Entity Name</t>
  </si>
  <si>
    <t>Subrecipient Name</t>
  </si>
  <si>
    <t>Unique Entity Identifier</t>
  </si>
  <si>
    <t xml:space="preserve"> Federal Award Identification Number</t>
  </si>
  <si>
    <t>Federal Award Date</t>
  </si>
  <si>
    <t>Subaward Period of Performance Stat and End Date</t>
  </si>
  <si>
    <t>Subaward Budget Period Start and End Date</t>
  </si>
  <si>
    <t>Amount of Federal Funds obligated by this action by the pass-through entity to the subrecipient</t>
  </si>
  <si>
    <t>Total Amount of Federal Funds Obligated to the subrecipient by the pass-through entity including the current financial obligation</t>
  </si>
  <si>
    <t>Total Amount of the Federal Award committed to the subrecipient by the pass-through entity;</t>
  </si>
  <si>
    <t>Federal award project description, as required to be responsive to the Federal Funding Accountability and Transparency Act (FFATA);</t>
  </si>
  <si>
    <t>Name of Federal awarding agency, pass-through entity, and contact information for awarding official of the Pass-through entity;</t>
  </si>
  <si>
    <t>Assistance Listings number and Title; the pass-through entity must identify the dollar amount made available under each Federal award and the Assistance Listings Number at time of disbursement;</t>
  </si>
  <si>
    <t>Identification of whether the award is R&amp;D; and</t>
  </si>
  <si>
    <t>Indirect cost rate for the Federal award (including if the de minimis rate is charged) per § 200.414.</t>
  </si>
  <si>
    <t>118720000</t>
  </si>
  <si>
    <t>A+ Charter Schools</t>
  </si>
  <si>
    <t>H027A230007</t>
  </si>
  <si>
    <t>07/01/2023-09/30/2025</t>
  </si>
  <si>
    <t>07/01/2023-09/30/2024</t>
  </si>
  <si>
    <t>n/a</t>
  </si>
  <si>
    <t>Academy Del Sol, Inc.</t>
  </si>
  <si>
    <t>088704000</t>
  </si>
  <si>
    <t>Academy of Building Industries, Inc.</t>
  </si>
  <si>
    <t>Academy of Mathematics and Science South, Inc.</t>
  </si>
  <si>
    <t>Academy of Mathematics and Science, Inc.</t>
  </si>
  <si>
    <t>Academy of Tucson, Inc.</t>
  </si>
  <si>
    <t>078794000</t>
  </si>
  <si>
    <t>Academy with Community Partners-Arizona, Inc</t>
  </si>
  <si>
    <t>Acclaim Charter School</t>
  </si>
  <si>
    <t>Acorn Montessori Charter School</t>
  </si>
  <si>
    <t>070516000</t>
  </si>
  <si>
    <t>Agua Fria Union High School District</t>
  </si>
  <si>
    <t>Aguila Elementary District</t>
  </si>
  <si>
    <t>078793000</t>
  </si>
  <si>
    <t>AIBT Non-Profit Charter High School - Phoenix</t>
  </si>
  <si>
    <t>078286000</t>
  </si>
  <si>
    <t>AIBT Non-Profit Charter High School, Inc.</t>
  </si>
  <si>
    <t>Ajo Unified District</t>
  </si>
  <si>
    <t>Akimel O Otham Pee Posh Charter School, Inc.</t>
  </si>
  <si>
    <t>118706000</t>
  </si>
  <si>
    <t>Akimel O'Otham Pee Posh Charter School, Inc.</t>
  </si>
  <si>
    <t>Alhambra Elementary District</t>
  </si>
  <si>
    <t>Alpine Elementary District</t>
  </si>
  <si>
    <t>Altar Valley Elementary District</t>
  </si>
  <si>
    <t>108794000</t>
  </si>
  <si>
    <t>American Charter Schools Foundation d.b.a. Alta Vista High School</t>
  </si>
  <si>
    <t>118703000</t>
  </si>
  <si>
    <t>American Charter Schools Foundation d.b.a. Apache Trail High School</t>
  </si>
  <si>
    <t>078950000</t>
  </si>
  <si>
    <t>American Charter Schools Foundation d.b.a. Crestview College Preparatory High Sc</t>
  </si>
  <si>
    <t>078947000</t>
  </si>
  <si>
    <t>American Charter Schools Foundation d.b.a. Desert Hills High School</t>
  </si>
  <si>
    <t>078948000</t>
  </si>
  <si>
    <t>American Charter Schools Foundation d.b.a. Estrella High School</t>
  </si>
  <si>
    <t>078951000</t>
  </si>
  <si>
    <t>American Charter Schools Foundation d.b.a. Peoria Accelerated High School</t>
  </si>
  <si>
    <t>078983000</t>
  </si>
  <si>
    <t>American Charter Schools Foundation d.b.a. South Pointe High School</t>
  </si>
  <si>
    <t>078517000</t>
  </si>
  <si>
    <t>American Charter Schools Foundation d.b.a. South Ridge High School</t>
  </si>
  <si>
    <t>078953000</t>
  </si>
  <si>
    <t>American Charter Schools Foundation d.b.a. Sun Valley High School</t>
  </si>
  <si>
    <t>078956000</t>
  </si>
  <si>
    <t>American Charter Schools Foundation d.b.a. West Phoenix High School</t>
  </si>
  <si>
    <t>118722000</t>
  </si>
  <si>
    <t>American Charter Schools Foundation dba Ridgeview College Preparatory High School</t>
  </si>
  <si>
    <t>American Leadership Academy, Inc.</t>
  </si>
  <si>
    <t>Amphitheater Unified District</t>
  </si>
  <si>
    <t>140550000</t>
  </si>
  <si>
    <t>Antelope Union High School District</t>
  </si>
  <si>
    <t>Anthem Preparatory Academy</t>
  </si>
  <si>
    <t>016001000</t>
  </si>
  <si>
    <t>Apache County Sheriffs Office</t>
  </si>
  <si>
    <t>Apache Elementary District</t>
  </si>
  <si>
    <t>Apache Junction Unified District</t>
  </si>
  <si>
    <t>Aprender Tucson</t>
  </si>
  <si>
    <t>ARCHES Academy</t>
  </si>
  <si>
    <t>Archway Classical Academy Arete</t>
  </si>
  <si>
    <t>Archway Classical Academy Chandler</t>
  </si>
  <si>
    <t>Archway Classical Academy Cicero</t>
  </si>
  <si>
    <t>Archway Classical Academy Glendale</t>
  </si>
  <si>
    <t>Archway Classical Academy Lincoln</t>
  </si>
  <si>
    <t>Archway Classical Academy North Phoenix</t>
  </si>
  <si>
    <t>Archway Classical Academy Scottsdale</t>
  </si>
  <si>
    <t>Archway Classical Academy Trivium West</t>
  </si>
  <si>
    <t>Archway Classical Academy Veritas</t>
  </si>
  <si>
    <t>078527000</t>
  </si>
  <si>
    <t>Arete Preparatory Academy</t>
  </si>
  <si>
    <t>078412000</t>
  </si>
  <si>
    <t>Arizona Agribusiness &amp; Equine Center INC.</t>
  </si>
  <si>
    <t>078587000</t>
  </si>
  <si>
    <t>Arizona Agribusiness &amp; Equine Center, Inc.</t>
  </si>
  <si>
    <t>078707000</t>
  </si>
  <si>
    <t>138785000</t>
  </si>
  <si>
    <t>078993000</t>
  </si>
  <si>
    <t>Arizona Autism Charter Schools, Inc.</t>
  </si>
  <si>
    <t>078723000</t>
  </si>
  <si>
    <t>Arizona Call-a-Teen Youth Resources, Inc.</t>
  </si>
  <si>
    <t>Arizona Collaborative Learning Partners, Inc.</t>
  </si>
  <si>
    <t>Arizona Community Development Corporation</t>
  </si>
  <si>
    <t>Arizona Connections Academy Charter School, Inc.</t>
  </si>
  <si>
    <t>211002000</t>
  </si>
  <si>
    <t>Arizona Department of Corrections</t>
  </si>
  <si>
    <t>000111000</t>
  </si>
  <si>
    <t>Arizona Department of Education</t>
  </si>
  <si>
    <t>Arizona Education Solutions</t>
  </si>
  <si>
    <t>078111000</t>
  </si>
  <si>
    <t>Arizona Goodwill Education Services</t>
  </si>
  <si>
    <t>Arizona Language Preparatory</t>
  </si>
  <si>
    <t>Arizona Language Schools</t>
  </si>
  <si>
    <t>078722000</t>
  </si>
  <si>
    <t>Arizona School For The Arts</t>
  </si>
  <si>
    <t>Arizona State School for the Deaf and Blind</t>
  </si>
  <si>
    <t>Arlington Elementary District</t>
  </si>
  <si>
    <t>Ash Creek Elementary District</t>
  </si>
  <si>
    <t>Ash Fork Joint Unified District</t>
  </si>
  <si>
    <t>118716000</t>
  </si>
  <si>
    <t>ASU Preparatory Academy - Casa Grande</t>
  </si>
  <si>
    <t>ASU Preparatory Academy Digital</t>
  </si>
  <si>
    <t>078277000</t>
  </si>
  <si>
    <t>ASU Preparatory Academy</t>
  </si>
  <si>
    <t>078251000</t>
  </si>
  <si>
    <t>078559000</t>
  </si>
  <si>
    <t>078207000</t>
  </si>
  <si>
    <t>078250000</t>
  </si>
  <si>
    <t>078208000</t>
  </si>
  <si>
    <t>Avondale Elementary District</t>
  </si>
  <si>
    <t>078614000</t>
  </si>
  <si>
    <t>Avondale Learning dba Precision Academy</t>
  </si>
  <si>
    <t>078542000</t>
  </si>
  <si>
    <t>AZ Compass Schools, Inc.</t>
  </si>
  <si>
    <t>211001000</t>
  </si>
  <si>
    <t>AZ Dept of Juvenile Corrections</t>
  </si>
  <si>
    <t>Baboquivari Unified School District #40</t>
  </si>
  <si>
    <t>Bagdad Unified District</t>
  </si>
  <si>
    <t>Ball Charter Schools (Dobson)</t>
  </si>
  <si>
    <t>Ball Charter Schools (Hearn)</t>
  </si>
  <si>
    <t>Ball Charter Schools (Val Vista)</t>
  </si>
  <si>
    <t>Balsz Elementary District</t>
  </si>
  <si>
    <t>078588000</t>
  </si>
  <si>
    <t>BASIS Charter Schools, Inc.</t>
  </si>
  <si>
    <t>078736000</t>
  </si>
  <si>
    <t>078589000</t>
  </si>
  <si>
    <t>078269000</t>
  </si>
  <si>
    <t>078575000</t>
  </si>
  <si>
    <t>078212000</t>
  </si>
  <si>
    <t>108737000</t>
  </si>
  <si>
    <t>078403000</t>
  </si>
  <si>
    <t>Beaver Creek Elementary District</t>
  </si>
  <si>
    <t>Bell Canyon Charter School, Inc</t>
  </si>
  <si>
    <t>Benchmark School, Inc.</t>
  </si>
  <si>
    <t>Benjamin Franklin Charter School - Queen Creek</t>
  </si>
  <si>
    <t>Benson Unified School District</t>
  </si>
  <si>
    <t>150576000</t>
  </si>
  <si>
    <t>Bicentennial Union High School District</t>
  </si>
  <si>
    <t>Bisbee Unified District</t>
  </si>
  <si>
    <t>108501000</t>
  </si>
  <si>
    <t>Blue Adobe Project</t>
  </si>
  <si>
    <t>Blue Ridge Unified School District No. 32</t>
  </si>
  <si>
    <t>078745000</t>
  </si>
  <si>
    <t>Blueprint Education</t>
  </si>
  <si>
    <t>Bonita Elementary District</t>
  </si>
  <si>
    <t>Bouse Elementary District</t>
  </si>
  <si>
    <t>Bowie Unified District</t>
  </si>
  <si>
    <t>Buckeye Elementary District</t>
  </si>
  <si>
    <t>070501000</t>
  </si>
  <si>
    <t>Buckeye Union High School District</t>
  </si>
  <si>
    <t>Bullhead City School District</t>
  </si>
  <si>
    <t>CAFA, Inc. dba Learning Foundation and Performing Arts Gilbert</t>
  </si>
  <si>
    <t>CAFA, Inc. dba Learning Foundation Performing Arts School</t>
  </si>
  <si>
    <t>Calibre Academy</t>
  </si>
  <si>
    <t>Cambridge Academy  East,  Inc</t>
  </si>
  <si>
    <t>Camelback Education, Inc</t>
  </si>
  <si>
    <t>Camp Verde Unified District</t>
  </si>
  <si>
    <t>Candeo Schools, Inc.</t>
  </si>
  <si>
    <t>Canon Elementary District</t>
  </si>
  <si>
    <t>Carden of Tucson, Inc.</t>
  </si>
  <si>
    <t>098745000</t>
  </si>
  <si>
    <t>Career Development, Inc.</t>
  </si>
  <si>
    <t>Career Success Schools</t>
  </si>
  <si>
    <t>148761000</t>
  </si>
  <si>
    <t>Carpe Diem Collegiate High School</t>
  </si>
  <si>
    <t>Cartwright Elementary District</t>
  </si>
  <si>
    <t>CASA Academy</t>
  </si>
  <si>
    <t>Casa Grande Elementary District</t>
  </si>
  <si>
    <t>110502000</t>
  </si>
  <si>
    <t>Casa Grande Union High School District</t>
  </si>
  <si>
    <t>Catalina Foothills Unified District</t>
  </si>
  <si>
    <t>Caurus Academy, Inc</t>
  </si>
  <si>
    <t>Cave Creek Unified District</t>
  </si>
  <si>
    <t>Cedar Unified District</t>
  </si>
  <si>
    <t>Center for Academic Success, Inc.</t>
  </si>
  <si>
    <t>Challenge School, Inc.</t>
  </si>
  <si>
    <t>Challenger Basic School, Inc.</t>
  </si>
  <si>
    <t>078515000</t>
  </si>
  <si>
    <t>Chandler Preparatory Academy</t>
  </si>
  <si>
    <t>Chandler Unified District #80</t>
  </si>
  <si>
    <t>Chinle Unified District</t>
  </si>
  <si>
    <t>Chino Valley Unified District</t>
  </si>
  <si>
    <t>Choice Academies, Inc.</t>
  </si>
  <si>
    <t>Cholla Academy</t>
  </si>
  <si>
    <t>078249000</t>
  </si>
  <si>
    <t>Cicero Preparatory Academy</t>
  </si>
  <si>
    <t>108720000</t>
  </si>
  <si>
    <t>CITY Center for Collaborative Learning</t>
  </si>
  <si>
    <t>Clarkdale-Jerome Elementary District</t>
  </si>
  <si>
    <t>Cochise Community Development Corporation</t>
  </si>
  <si>
    <t>020101000</t>
  </si>
  <si>
    <t>Cochise County Accommodation School District</t>
  </si>
  <si>
    <t>026002000</t>
  </si>
  <si>
    <t>Cochise County Sheriffs Office</t>
  </si>
  <si>
    <t>Cochise Elementary District</t>
  </si>
  <si>
    <t>030199000</t>
  </si>
  <si>
    <t>Coconino County Accommodation School District</t>
  </si>
  <si>
    <t>Colearn Academy Arizona</t>
  </si>
  <si>
    <t>Colorado City Unified District</t>
  </si>
  <si>
    <t>080502000</t>
  </si>
  <si>
    <t>Colorado River Union High School District</t>
  </si>
  <si>
    <t>108788000</t>
  </si>
  <si>
    <t>Compass High School, Inc.</t>
  </si>
  <si>
    <t>138501000</t>
  </si>
  <si>
    <t>Compass Points International, Inc</t>
  </si>
  <si>
    <t>Concho Elementary District</t>
  </si>
  <si>
    <t>Concordia Charter School, Inc.</t>
  </si>
  <si>
    <t>Congress Elementary District</t>
  </si>
  <si>
    <t>Continental Elementary District</t>
  </si>
  <si>
    <t>Coolidge Unified District</t>
  </si>
  <si>
    <t>078643000</t>
  </si>
  <si>
    <t>Copper State Academy</t>
  </si>
  <si>
    <t>078994000</t>
  </si>
  <si>
    <t>Cornerstone Charter School,Inc</t>
  </si>
  <si>
    <t>078975000</t>
  </si>
  <si>
    <t>Cortez Park Charter Middle School, Inc.</t>
  </si>
  <si>
    <t>Cottonwood-Oak Creek Elementary District</t>
  </si>
  <si>
    <t>Country Gardens Charter Schools</t>
  </si>
  <si>
    <t>108505000</t>
  </si>
  <si>
    <t>CPLC Community Schools dba Hiaki High School</t>
  </si>
  <si>
    <t>108793000</t>
  </si>
  <si>
    <t>CPLC Community Schools dba Toltecalli High School</t>
  </si>
  <si>
    <t>078608000</t>
  </si>
  <si>
    <t>CPLC Community Schools</t>
  </si>
  <si>
    <t>Crane Elementary District</t>
  </si>
  <si>
    <t>Creighton Elementary District</t>
  </si>
  <si>
    <t>Crown Charter School, Inc</t>
  </si>
  <si>
    <t>130341000</t>
  </si>
  <si>
    <t>Crown King Elementary District</t>
  </si>
  <si>
    <t>Daisy Education Corporation dba Paragon Science Academy</t>
  </si>
  <si>
    <t>Daisy Education Corporation dba Sonoran Science Academy - Phoenix</t>
  </si>
  <si>
    <t>Daisy Education Corporation dba Sonoran Science Academy East</t>
  </si>
  <si>
    <t>Daisy Education Corporation dba Sonoran Science Academy</t>
  </si>
  <si>
    <t>108504000</t>
  </si>
  <si>
    <t>Daisy Education Corporation dba. Sonoran Science Academy Davis Monthan</t>
  </si>
  <si>
    <t>Daisy Education Corporation dba. Sonoran Science Academy Peoria</t>
  </si>
  <si>
    <t>078934000</t>
  </si>
  <si>
    <t>Deer Valley Charter Schools, Inc.</t>
  </si>
  <si>
    <t>Deer Valley Unified District</t>
  </si>
  <si>
    <t>Desert Heights Charter Schools</t>
  </si>
  <si>
    <t>108668000</t>
  </si>
  <si>
    <t>Desert Sage School</t>
  </si>
  <si>
    <t>Desert Sky Community School, Inc.</t>
  </si>
  <si>
    <t>Desert Star Academy</t>
  </si>
  <si>
    <t>Desert Star Community School, Inc.</t>
  </si>
  <si>
    <t>Destiny School, Inc.</t>
  </si>
  <si>
    <t>Discovery Plus Academy</t>
  </si>
  <si>
    <t>Double Adobe Elementary District</t>
  </si>
  <si>
    <t>Douglas Unified District</t>
  </si>
  <si>
    <t>Duncan Unified District</t>
  </si>
  <si>
    <t>Dysart Unified District</t>
  </si>
  <si>
    <t>EAGLE College Prep Harmony, LLC</t>
  </si>
  <si>
    <t>EAGLE College Prep Maryvale, LLC</t>
  </si>
  <si>
    <t>EAGLE College Prep Mesa, LLC.</t>
  </si>
  <si>
    <t>EAGLE South Mountain Charter, Inc.</t>
  </si>
  <si>
    <t>East Mesa Charter Elementary School, Inc.</t>
  </si>
  <si>
    <t>Ed Ahead</t>
  </si>
  <si>
    <t>108653000</t>
  </si>
  <si>
    <t>Edge School, Inc., The</t>
  </si>
  <si>
    <t>Edison Project</t>
  </si>
  <si>
    <t>Edkey Inc. dba American Heritage Academy</t>
  </si>
  <si>
    <t>078971000</t>
  </si>
  <si>
    <t>Edkey, Inc. - Arizona Conservatory for Arts and Academics</t>
  </si>
  <si>
    <t>Edkey, Inc. - Pathfinder Academy</t>
  </si>
  <si>
    <t>Edkey, Inc. - Redwood Academy</t>
  </si>
  <si>
    <t>Edkey, Inc. - Sequoia Charter School</t>
  </si>
  <si>
    <t>Edkey, Inc. - Sequoia Choice Schools</t>
  </si>
  <si>
    <t>Edkey, Inc. - Sequoia Pathway Academy</t>
  </si>
  <si>
    <t>Edkey, Inc. - Sequoia Ranch School</t>
  </si>
  <si>
    <t>Edkey, Inc. - Sequoia School for the Deaf and Hard of Hearing</t>
  </si>
  <si>
    <t>Edkey, Inc. - Sequoia Village School</t>
  </si>
  <si>
    <t>Educational Impact, Inc.</t>
  </si>
  <si>
    <t>078558000</t>
  </si>
  <si>
    <t>Educational Options Foundation</t>
  </si>
  <si>
    <t>Elfrida Elementary District</t>
  </si>
  <si>
    <t>Eloy Elementary District</t>
  </si>
  <si>
    <t>Empower College Prep</t>
  </si>
  <si>
    <t>078711000</t>
  </si>
  <si>
    <t>Espiritu Community Development Corp.</t>
  </si>
  <si>
    <t>078275000</t>
  </si>
  <si>
    <t>Espiritu Schools</t>
  </si>
  <si>
    <t>078239000</t>
  </si>
  <si>
    <t>Estrella Educational Foundation</t>
  </si>
  <si>
    <t>Ethos Academy - A Challenge Foundation Academy</t>
  </si>
  <si>
    <t>Excalibur Charter Schools, Inc.</t>
  </si>
  <si>
    <t>Fit Kids, Inc. dba Champion Schools</t>
  </si>
  <si>
    <t>038750000</t>
  </si>
  <si>
    <t>Flagstaff Arts And Leadership Academy</t>
  </si>
  <si>
    <t>Flagstaff Junior Academy</t>
  </si>
  <si>
    <t>Flagstaff Montessori, L.L.C.</t>
  </si>
  <si>
    <t>Flagstaff Unified District</t>
  </si>
  <si>
    <t>Florence Unified School District</t>
  </si>
  <si>
    <t>Flowing Wells Unified District</t>
  </si>
  <si>
    <t>Fort Huachuca Accommodation District</t>
  </si>
  <si>
    <t>Fort Thomas Unified District</t>
  </si>
  <si>
    <t>Fountain Hills Unified District</t>
  </si>
  <si>
    <t>Fowler Elementary District</t>
  </si>
  <si>
    <t>Franklin Phonetic Primary School, Inc.</t>
  </si>
  <si>
    <t>Fredonia-Moccasin Unified District</t>
  </si>
  <si>
    <t>Freedom Academy, Inc.</t>
  </si>
  <si>
    <t>078638000</t>
  </si>
  <si>
    <t>Freedom Preparatory Academy</t>
  </si>
  <si>
    <t>Friendly House, Inc.</t>
  </si>
  <si>
    <t>Gadsden Elementary District</t>
  </si>
  <si>
    <t>Ganado Unified School District</t>
  </si>
  <si>
    <t>Gem Charter School, Inc.</t>
  </si>
  <si>
    <t>078708000</t>
  </si>
  <si>
    <t>Genesis Program, Inc.</t>
  </si>
  <si>
    <t>George Gervin Youth Center, Inc.</t>
  </si>
  <si>
    <t>Gila Bend Unified District</t>
  </si>
  <si>
    <t>040149000</t>
  </si>
  <si>
    <t>Gila County Regional School District</t>
  </si>
  <si>
    <t>046004000</t>
  </si>
  <si>
    <t>Gila County Sheriffs Office</t>
  </si>
  <si>
    <t>Gilbert Unified District</t>
  </si>
  <si>
    <t>Glen Canyon Outdoor Academy</t>
  </si>
  <si>
    <t>Glendale Elementary District</t>
  </si>
  <si>
    <t>078540000</t>
  </si>
  <si>
    <t>Glendale Preparatory Academy</t>
  </si>
  <si>
    <t>Glendale Union High School District</t>
  </si>
  <si>
    <t>Globe Unified District</t>
  </si>
  <si>
    <t>056005000</t>
  </si>
  <si>
    <t>Graham County School Superintendent</t>
  </si>
  <si>
    <t>Grand Canyon Unified District</t>
  </si>
  <si>
    <t>Great Expectations Academy</t>
  </si>
  <si>
    <t>Griffin Foundation, Inc. The</t>
  </si>
  <si>
    <t>108726000</t>
  </si>
  <si>
    <t>Ha:san Educational Services</t>
  </si>
  <si>
    <t>Hackberry School District</t>
  </si>
  <si>
    <t>Happy Valley East</t>
  </si>
  <si>
    <t>Happy Valley School, Inc.</t>
  </si>
  <si>
    <t>Harvest Power Community Development Group, Inc.</t>
  </si>
  <si>
    <t>Haven Montessori Children's House, Inc.</t>
  </si>
  <si>
    <t>Hayden-Winkelman Unified District</t>
  </si>
  <si>
    <t>Heartwood Montessori</t>
  </si>
  <si>
    <t>Heber-Overgaard Unified District</t>
  </si>
  <si>
    <t>Heritage Academy Gateway, Inc.</t>
  </si>
  <si>
    <t>078259000</t>
  </si>
  <si>
    <t>Heritage Academy Laveen, Inc.</t>
  </si>
  <si>
    <t>078712000</t>
  </si>
  <si>
    <t>Heritage Academy, Inc.</t>
  </si>
  <si>
    <t>Heritage Elementary School</t>
  </si>
  <si>
    <t>Hermosa Montessori Charter School</t>
  </si>
  <si>
    <t>Highland Free School</t>
  </si>
  <si>
    <t>078244000</t>
  </si>
  <si>
    <t>Highland Prep</t>
  </si>
  <si>
    <t>Higley Unified School District</t>
  </si>
  <si>
    <t>Hillside Elementary District</t>
  </si>
  <si>
    <t>Hirsch Academy A Challenge Foundation</t>
  </si>
  <si>
    <t>Holbrook Unified District</t>
  </si>
  <si>
    <t>078752000</t>
  </si>
  <si>
    <t>Horizon Community Learning Center, Inc.</t>
  </si>
  <si>
    <t>Humboldt Unified District</t>
  </si>
  <si>
    <t>Hyder Elementary District</t>
  </si>
  <si>
    <t>Imagine Avondale Elementary, Inc.</t>
  </si>
  <si>
    <t>078553000</t>
  </si>
  <si>
    <t>Imagine Avondale Middle, Inc.</t>
  </si>
  <si>
    <t>078531000</t>
  </si>
  <si>
    <t>Imagine Camelback Middle, Inc.</t>
  </si>
  <si>
    <t>Imagine Charter Elementary at Camelback, Inc.</t>
  </si>
  <si>
    <t>Imagine Charter Elementary at Desert West, Inc.</t>
  </si>
  <si>
    <t>Imagine Coolidge Elementary, Inc.</t>
  </si>
  <si>
    <t>078532000</t>
  </si>
  <si>
    <t>Imagine Desert West Middle, Inc.</t>
  </si>
  <si>
    <t>078521000</t>
  </si>
  <si>
    <t>Imagine Middle at East Mesa, Inc.</t>
  </si>
  <si>
    <t>078522000</t>
  </si>
  <si>
    <t>Imagine Middle at Surprise, Inc.</t>
  </si>
  <si>
    <t>078547000</t>
  </si>
  <si>
    <t>Imagine Prep Coolidge, Inc.</t>
  </si>
  <si>
    <t>078537000</t>
  </si>
  <si>
    <t>Imagine Prep Superstition, Inc.</t>
  </si>
  <si>
    <t>078538000</t>
  </si>
  <si>
    <t>Imagine Prep Surprise, Inc.</t>
  </si>
  <si>
    <t>078552000</t>
  </si>
  <si>
    <t>Imagine Superstition Middle, Inc.</t>
  </si>
  <si>
    <t>Incito Schools</t>
  </si>
  <si>
    <t>108735000</t>
  </si>
  <si>
    <t>Institute for Transformative Education, Inc.</t>
  </si>
  <si>
    <t>078741000</t>
  </si>
  <si>
    <t>Intelli-School, Inc.</t>
  </si>
  <si>
    <t>Isaac Elementary District</t>
  </si>
  <si>
    <t>J O Combs Unified School District</t>
  </si>
  <si>
    <t>078795000</t>
  </si>
  <si>
    <t>James Madison Preparatory School</t>
  </si>
  <si>
    <t>078928000</t>
  </si>
  <si>
    <t>James Sandoval Preparatory High School</t>
  </si>
  <si>
    <t>Joseph City Unified District</t>
  </si>
  <si>
    <t>Juniper Tree Academy</t>
  </si>
  <si>
    <t>Kaizen Education Foundation dba Advance U</t>
  </si>
  <si>
    <t>Kaizen Education Foundation dba Colegio Petite Phoenix</t>
  </si>
  <si>
    <t>Kaizen Education Foundation dba Discover U Elementary School</t>
  </si>
  <si>
    <t>078718000</t>
  </si>
  <si>
    <t>Kaizen Education Foundation dba El Dorado High School</t>
  </si>
  <si>
    <t>Kaizen Education Foundation dba Gilbert Arts Academy</t>
  </si>
  <si>
    <t>Kaizen Education Foundation dba Havasu Preparatory Academy</t>
  </si>
  <si>
    <t>Kaizen Education Foundation dba Liberty Arts Academy</t>
  </si>
  <si>
    <t>078949000</t>
  </si>
  <si>
    <t>Kaizen Education Foundation dba Maya High School</t>
  </si>
  <si>
    <t>078576000</t>
  </si>
  <si>
    <t>Kaizen Education Foundation dba Mission Heights Preparatory High School</t>
  </si>
  <si>
    <t>108706000</t>
  </si>
  <si>
    <t>Kaizen Education Foundation dba Skyview High School</t>
  </si>
  <si>
    <t>Kaizen Education Foundation dba South Pointe Elementary School</t>
  </si>
  <si>
    <t>078765000</t>
  </si>
  <si>
    <t>Kaizen Education Foundation dba South Pointe Junior High School</t>
  </si>
  <si>
    <t>078952000</t>
  </si>
  <si>
    <t>Kaizen Education Foundation dba Summit High School</t>
  </si>
  <si>
    <t>078954000</t>
  </si>
  <si>
    <t>Kaizen Education Foundation dba Tempe Accelerated High School</t>
  </si>
  <si>
    <t>Kaizen Education Foundation dba Vista Grove Preparatory Academy Elementary</t>
  </si>
  <si>
    <t>078946000</t>
  </si>
  <si>
    <t>Kaizen Education Foundation dba Vista Grove Preparatory Academy Middle School</t>
  </si>
  <si>
    <t>Kaleidoscope School</t>
  </si>
  <si>
    <t>Kayenta Unified School District #27</t>
  </si>
  <si>
    <t>138759000</t>
  </si>
  <si>
    <t>Kestrel Schools, Inc.</t>
  </si>
  <si>
    <t>078779000</t>
  </si>
  <si>
    <t>Keystone Montessori Charter School, Inc.</t>
  </si>
  <si>
    <t>Khalsa Family Services</t>
  </si>
  <si>
    <t>Khalsa Montessori Elementary Schools</t>
  </si>
  <si>
    <t>Kingman Academy Of Learning</t>
  </si>
  <si>
    <t>Kingman Unified School District</t>
  </si>
  <si>
    <t>Kirkland Elementary District</t>
  </si>
  <si>
    <t>Kyrene Elementary District</t>
  </si>
  <si>
    <t>156007000</t>
  </si>
  <si>
    <t>La Paz County Sheriff's Office</t>
  </si>
  <si>
    <t>La Tierra Community School, Inc</t>
  </si>
  <si>
    <t>Lake Havasu Unified District</t>
  </si>
  <si>
    <t>Laveen Elementary District</t>
  </si>
  <si>
    <t>LEAD Charter Schools</t>
  </si>
  <si>
    <t>Leading Edge Academy Maricopa</t>
  </si>
  <si>
    <t>Leading Edge Academy Queen Creek</t>
  </si>
  <si>
    <t>078507000</t>
  </si>
  <si>
    <t>Legacy Education Group</t>
  </si>
  <si>
    <t>Legacy Traditional School - Avondale</t>
  </si>
  <si>
    <t>Legacy Traditional School - Casa Grande</t>
  </si>
  <si>
    <t>Legacy Traditional School - Chandler</t>
  </si>
  <si>
    <t>Legacy Traditional School - Deer Valley</t>
  </si>
  <si>
    <t>Legacy Traditional School - East Mesa</t>
  </si>
  <si>
    <t>Legacy Traditional School - East Tucson</t>
  </si>
  <si>
    <t>Legacy Traditional School - Gilbert</t>
  </si>
  <si>
    <t>Legacy Traditional School - Glendale</t>
  </si>
  <si>
    <t>Legacy Traditional School - Goodyear</t>
  </si>
  <si>
    <t>Legacy Traditional School - Laveen Village</t>
  </si>
  <si>
    <t>Legacy Traditional School - Maricopa</t>
  </si>
  <si>
    <t>Legacy Traditional School - Mesa</t>
  </si>
  <si>
    <t>Legacy Traditional School - North Chandler</t>
  </si>
  <si>
    <t>078637000</t>
  </si>
  <si>
    <t>Legacy Traditional School - North Phoenix</t>
  </si>
  <si>
    <t>Legacy Traditional School - Northwest Tucson</t>
  </si>
  <si>
    <t>Legacy Traditional School - Peoria</t>
  </si>
  <si>
    <t>Legacy Traditional School - Phoenix</t>
  </si>
  <si>
    <t>Legacy Traditional School - Queen Creek</t>
  </si>
  <si>
    <t>Legacy Traditional School - Surprise</t>
  </si>
  <si>
    <t>Legacy Traditional School - West Surprise</t>
  </si>
  <si>
    <t>Legacy Traditional-San Tan</t>
  </si>
  <si>
    <t>Leman Academy of Excellence, Inc.</t>
  </si>
  <si>
    <t>Liberty Elementary District</t>
  </si>
  <si>
    <t>048750000</t>
  </si>
  <si>
    <t>Liberty High School</t>
  </si>
  <si>
    <t>Liberty Leadership Academy</t>
  </si>
  <si>
    <t>Liberty Traditional Charter School</t>
  </si>
  <si>
    <t>078235000</t>
  </si>
  <si>
    <t>Lincoln Preparatory Academy</t>
  </si>
  <si>
    <t>Litchfield Elementary District</t>
  </si>
  <si>
    <t>Little Lamb Community School</t>
  </si>
  <si>
    <t>Littlefield Unified District</t>
  </si>
  <si>
    <t>Littleton Elementary District</t>
  </si>
  <si>
    <t>Madison Elementary District</t>
  </si>
  <si>
    <t>078419000</t>
  </si>
  <si>
    <t>Madison Highland Prep Phoenix</t>
  </si>
  <si>
    <t>078219000</t>
  </si>
  <si>
    <t>Madison Highland Prep</t>
  </si>
  <si>
    <t>Maine Consolidated School District</t>
  </si>
  <si>
    <t>Mammoth-San Manuel Unified District</t>
  </si>
  <si>
    <t>Marana Unified District</t>
  </si>
  <si>
    <t>078647000</t>
  </si>
  <si>
    <t>Maricopa County Community College District dba Gateway Early College High School</t>
  </si>
  <si>
    <t>071004000</t>
  </si>
  <si>
    <t>Maricopa County Detention Education Center</t>
  </si>
  <si>
    <t>070199000</t>
  </si>
  <si>
    <t>Maricopa County Regional School District</t>
  </si>
  <si>
    <t>076008000</t>
  </si>
  <si>
    <t>Maricopa County Sheriffs Office</t>
  </si>
  <si>
    <t>Maricopa Unified School District</t>
  </si>
  <si>
    <t>Mary C O'Brien Accommodation District</t>
  </si>
  <si>
    <t>138757000</t>
  </si>
  <si>
    <t>Mary Ellen Halvorson Educational Foundation. dba: Tri-City Prep High School</t>
  </si>
  <si>
    <t>Maryvale Preparatory Academy</t>
  </si>
  <si>
    <t>Masada Charter School, Inc.</t>
  </si>
  <si>
    <t>Math and Science Success Academy, Inc.</t>
  </si>
  <si>
    <t>Mayer Unified School District</t>
  </si>
  <si>
    <t>078743000</t>
  </si>
  <si>
    <t>MCCCD on behalf of Phoenix College Preparatory Academy</t>
  </si>
  <si>
    <t>Mcnary Elementary District</t>
  </si>
  <si>
    <t>McNeal Elementary District</t>
  </si>
  <si>
    <t>Mesa Unified District</t>
  </si>
  <si>
    <t>078906000</t>
  </si>
  <si>
    <t>Metropolitan Arts Institute, Inc.</t>
  </si>
  <si>
    <t>Mexicayotl Academy, Inc.</t>
  </si>
  <si>
    <t>Miami Unified District</t>
  </si>
  <si>
    <t>Midtown Primary School</t>
  </si>
  <si>
    <t>Milestones Charter School</t>
  </si>
  <si>
    <t>Mingus Springs Charter School</t>
  </si>
  <si>
    <t>130504000</t>
  </si>
  <si>
    <t>Mingus Union High School District</t>
  </si>
  <si>
    <t>Mobile Elementary District</t>
  </si>
  <si>
    <t>Mohave Accelerated Elementary School, Inc.</t>
  </si>
  <si>
    <t>088758000</t>
  </si>
  <si>
    <t>Mohave Accelerated Learning Center</t>
  </si>
  <si>
    <t>211019000</t>
  </si>
  <si>
    <t>Mohave County Juvenile Detention</t>
  </si>
  <si>
    <t>086009000</t>
  </si>
  <si>
    <t>Mohave County Sheriffs Office</t>
  </si>
  <si>
    <t>Mohave Valley Elementary District</t>
  </si>
  <si>
    <t>Mohawk Valley Elementary District</t>
  </si>
  <si>
    <t>Montessori Academy, Inc.</t>
  </si>
  <si>
    <t>Montessori Day Public Schools Chartered, Inc.</t>
  </si>
  <si>
    <t>Montessori Education Centre Charter School</t>
  </si>
  <si>
    <t>Morenci Unified District</t>
  </si>
  <si>
    <t>Morrison Education Group, Inc.</t>
  </si>
  <si>
    <t>Morristown Elementary District</t>
  </si>
  <si>
    <t>Mountain Oak Charter School, Inc.</t>
  </si>
  <si>
    <t>Mountain School, Inc.</t>
  </si>
  <si>
    <t>Murphy Elementary District</t>
  </si>
  <si>
    <t>Naco Elementary District</t>
  </si>
  <si>
    <t>Nadaburg Unified School District</t>
  </si>
  <si>
    <t>090199000</t>
  </si>
  <si>
    <t>Navajo County Accommodation District #99</t>
  </si>
  <si>
    <t>096010000</t>
  </si>
  <si>
    <t>Navajo County Sheriff's Office</t>
  </si>
  <si>
    <t>New Horizon School for the Performing Arts</t>
  </si>
  <si>
    <t>New Learning Ventures, Inc.</t>
  </si>
  <si>
    <t>078981000</t>
  </si>
  <si>
    <t>New School for the Arts Middle School</t>
  </si>
  <si>
    <t>078903000</t>
  </si>
  <si>
    <t>New School For The Arts</t>
  </si>
  <si>
    <t>New World Educational Center</t>
  </si>
  <si>
    <t>Noah Webster Schools - Mesa</t>
  </si>
  <si>
    <t>Noah Webster Schools-Pima</t>
  </si>
  <si>
    <t>Nogales Unified District</t>
  </si>
  <si>
    <t>078584000</t>
  </si>
  <si>
    <t>North Phoenix Preparatory Academy</t>
  </si>
  <si>
    <t>078945000</t>
  </si>
  <si>
    <t>North Star Charter School, Inc.</t>
  </si>
  <si>
    <t>038701000</t>
  </si>
  <si>
    <t>Northland Preparatory Academy</t>
  </si>
  <si>
    <t>Nosotros, Inc</t>
  </si>
  <si>
    <t>Omega Alpha Academy</t>
  </si>
  <si>
    <t>108604000</t>
  </si>
  <si>
    <t>Online School of Arizona</t>
  </si>
  <si>
    <t>Oracle Elementary District</t>
  </si>
  <si>
    <t>Osborn Elementary District</t>
  </si>
  <si>
    <t>Owens School District No.6</t>
  </si>
  <si>
    <t>P.L.C. Charter Schools</t>
  </si>
  <si>
    <t>138758000</t>
  </si>
  <si>
    <t>PACE Preparatory Academy, Inc.</t>
  </si>
  <si>
    <t>Page Unified School District #8</t>
  </si>
  <si>
    <t>Painted Desert Demonstration Projects, Inc.</t>
  </si>
  <si>
    <t>Painted Pony Ranch Charter School</t>
  </si>
  <si>
    <t>Palo Verde Elementary District</t>
  </si>
  <si>
    <t>Paloma School District</t>
  </si>
  <si>
    <t>Palominas Elementary School District 49</t>
  </si>
  <si>
    <t>Pan-American Elementary Charter</t>
  </si>
  <si>
    <t>Paradise Valley Unified District</t>
  </si>
  <si>
    <t>Paragon Management, Inc.</t>
  </si>
  <si>
    <t>Parker Unified School District</t>
  </si>
  <si>
    <t>078963000</t>
  </si>
  <si>
    <t>PAS Charter, Inc., dba Intelli-School</t>
  </si>
  <si>
    <t>Patagonia Elementary District</t>
  </si>
  <si>
    <t>Patagonia Montessori Elementary School</t>
  </si>
  <si>
    <t>120520000</t>
  </si>
  <si>
    <t>Patagonia Union High School District</t>
  </si>
  <si>
    <t>Pathfinder Charter School Foundation</t>
  </si>
  <si>
    <t>078216000</t>
  </si>
  <si>
    <t>Pathways In Education-Arizona, Inc.</t>
  </si>
  <si>
    <t>078631000</t>
  </si>
  <si>
    <t>Paul Revere Academy, Inc.</t>
  </si>
  <si>
    <t>Payson Unified District</t>
  </si>
  <si>
    <t>Peach Springs Unified District</t>
  </si>
  <si>
    <t>Pearce Elementary District</t>
  </si>
  <si>
    <t>Pendergast Elementary District</t>
  </si>
  <si>
    <t>078238000</t>
  </si>
  <si>
    <t>Pensar Academy</t>
  </si>
  <si>
    <t>Peoria Unified School District</t>
  </si>
  <si>
    <t>078716000</t>
  </si>
  <si>
    <t>Phoenix Education Management, LLC,</t>
  </si>
  <si>
    <t>Phoenix Elementary District</t>
  </si>
  <si>
    <t>Phoenix International Academy</t>
  </si>
  <si>
    <t>078776000</t>
  </si>
  <si>
    <t>Phoenix School of Academic Excellence The</t>
  </si>
  <si>
    <t>070510000</t>
  </si>
  <si>
    <t>Phoenix Union High School District</t>
  </si>
  <si>
    <t>Picacho Elementary District</t>
  </si>
  <si>
    <t>078504000</t>
  </si>
  <si>
    <t>Pillar Charter School</t>
  </si>
  <si>
    <t>100100000</t>
  </si>
  <si>
    <t>Pima County Accommodation School District</t>
  </si>
  <si>
    <t>108601000</t>
  </si>
  <si>
    <t>Pima County</t>
  </si>
  <si>
    <t>108799000</t>
  </si>
  <si>
    <t>Pima Prevention Partnership dba Pima Partnership Academy</t>
  </si>
  <si>
    <t>108711000</t>
  </si>
  <si>
    <t>Pima Prevention Partnership dba Pima Partnership School, The</t>
  </si>
  <si>
    <t>108507000</t>
  </si>
  <si>
    <t>Pima Prevention Partnership</t>
  </si>
  <si>
    <t>Pima Unified District</t>
  </si>
  <si>
    <t>116012000</t>
  </si>
  <si>
    <t>Pinal County Sheriffs Office</t>
  </si>
  <si>
    <t>Pine Forest Education Association, Inc.</t>
  </si>
  <si>
    <t>Pine Strawberry Elementary District</t>
  </si>
  <si>
    <t>Pinon Unified District</t>
  </si>
  <si>
    <t>Pioneer Preparatory School</t>
  </si>
  <si>
    <t>Pointe Schools</t>
  </si>
  <si>
    <t>Pomerene Elementary District</t>
  </si>
  <si>
    <t>108744000</t>
  </si>
  <si>
    <t>Portable Practical Educational Preparation, Inc. (PPEP, Inc.)</t>
  </si>
  <si>
    <t>078939000</t>
  </si>
  <si>
    <t>Premier Charter High School</t>
  </si>
  <si>
    <t>078100000</t>
  </si>
  <si>
    <t>Premier Prep Online Academy</t>
  </si>
  <si>
    <t>Prescott Unified District</t>
  </si>
  <si>
    <t>Prescott Valley Charter School</t>
  </si>
  <si>
    <t>Presidio School</t>
  </si>
  <si>
    <t>Quartzsite Elementary District</t>
  </si>
  <si>
    <t>Queen Creek Unified District</t>
  </si>
  <si>
    <t>Ray Unified District</t>
  </si>
  <si>
    <t>Red Mesa Unified District</t>
  </si>
  <si>
    <t>Red Rock Elementary District</t>
  </si>
  <si>
    <t>Reid Traditional Schools' Painted Rock Academy Inc.</t>
  </si>
  <si>
    <t>Reid Traditional Schools' Valley Academy, Inc.</t>
  </si>
  <si>
    <t>Research Based Education Corporation</t>
  </si>
  <si>
    <t>Ridgeline Academy, Inc.</t>
  </si>
  <si>
    <t>Riverside Elementary District</t>
  </si>
  <si>
    <t>Roosevelt Elementary District</t>
  </si>
  <si>
    <t>Roosevelt Preparatory Academy</t>
  </si>
  <si>
    <t>Rosefield Charter Elementary School, Inc.</t>
  </si>
  <si>
    <t>Round Valley Unified District</t>
  </si>
  <si>
    <t>Sacaton Elementary District</t>
  </si>
  <si>
    <t>Saddle Mountain Unified School District</t>
  </si>
  <si>
    <t>Safford Unified District</t>
  </si>
  <si>
    <t>Sage Academy, Inc.</t>
  </si>
  <si>
    <t>Sahuarita Unified District</t>
  </si>
  <si>
    <t>Salome Consolidated Elementary District</t>
  </si>
  <si>
    <t>078656000</t>
  </si>
  <si>
    <t>Salt River Pima-Maricopa  Community Schools</t>
  </si>
  <si>
    <t>San Carlos Unified District</t>
  </si>
  <si>
    <t>San Fernando Elementary District</t>
  </si>
  <si>
    <t>San Simon Unified District</t>
  </si>
  <si>
    <t>San Tan Montessori School, Inc.</t>
  </si>
  <si>
    <t>Sanders Unified District</t>
  </si>
  <si>
    <t>126013000</t>
  </si>
  <si>
    <t>Santa Cruz County Sheriffs Office</t>
  </si>
  <si>
    <t>Santa Cruz Elementary District</t>
  </si>
  <si>
    <t>Santa Cruz Valley Opportunities in Education, Inc.</t>
  </si>
  <si>
    <t>Santa Cruz Valley Unified District</t>
  </si>
  <si>
    <t>110540000</t>
  </si>
  <si>
    <t>Santa Cruz Valley Union High School District</t>
  </si>
  <si>
    <t>108719000</t>
  </si>
  <si>
    <t>Satori, Inc.</t>
  </si>
  <si>
    <t>078962000</t>
  </si>
  <si>
    <t>SC Jensen Corporation, Inc. dba Intelli-School</t>
  </si>
  <si>
    <t>Scholars Academy Sunnyslope</t>
  </si>
  <si>
    <t>Science Technology Engineering and Math Arizona</t>
  </si>
  <si>
    <t>Scottsdale Country Day School</t>
  </si>
  <si>
    <t>078533000</t>
  </si>
  <si>
    <t>Scottsdale Preparatory Academy</t>
  </si>
  <si>
    <t>Scottsdale Unified District</t>
  </si>
  <si>
    <t>Sedona Charter School, Inc.</t>
  </si>
  <si>
    <t>Sedona-Oak Creek JUSD #9</t>
  </si>
  <si>
    <t>Self Development Academy-Phoenix</t>
  </si>
  <si>
    <t>Seligman Unified District</t>
  </si>
  <si>
    <t>Sentinel Elementary District</t>
  </si>
  <si>
    <t>098746000</t>
  </si>
  <si>
    <t>Shonto Governing Board of Education, Inc.</t>
  </si>
  <si>
    <t>Show Low Unified District</t>
  </si>
  <si>
    <t>Sierra Vista Unified District</t>
  </si>
  <si>
    <t>Skull Valley Elementary District</t>
  </si>
  <si>
    <t>078566000</t>
  </si>
  <si>
    <t>Skyline Gila River Schools, LLC</t>
  </si>
  <si>
    <t>078914000</t>
  </si>
  <si>
    <t>Skyline Schools, Inc.</t>
  </si>
  <si>
    <t>Skyview School, Inc.</t>
  </si>
  <si>
    <t>SLAM Arizona, Inc.</t>
  </si>
  <si>
    <t>Snowflake Unified District</t>
  </si>
  <si>
    <t>Solomon Elementary District</t>
  </si>
  <si>
    <t>Somerset Academy Arizona, Inc.</t>
  </si>
  <si>
    <t>Somerton Elementary District</t>
  </si>
  <si>
    <t>Sonoita Elementary District</t>
  </si>
  <si>
    <t>South Phoenix Academy Inc.</t>
  </si>
  <si>
    <t>078578000</t>
  </si>
  <si>
    <t>South Valley Academy, Inc.</t>
  </si>
  <si>
    <t>Southgate Academy, Inc.</t>
  </si>
  <si>
    <t>078228000</t>
  </si>
  <si>
    <t>Southwest Leadership Academy</t>
  </si>
  <si>
    <t>St David Unified District</t>
  </si>
  <si>
    <t>St Johns Unified District</t>
  </si>
  <si>
    <t>Stanfield Elementary District</t>
  </si>
  <si>
    <t>STEP UP Schools, Inc.</t>
  </si>
  <si>
    <t>Stepping Stones Academy</t>
  </si>
  <si>
    <t>108227000</t>
  </si>
  <si>
    <t>StrengthBuilding Partners</t>
  </si>
  <si>
    <t>Success School</t>
  </si>
  <si>
    <t>Sunnyside Unified District</t>
  </si>
  <si>
    <t>Superior Unified School District</t>
  </si>
  <si>
    <t>Synergy Public School, Inc.</t>
  </si>
  <si>
    <t>Tanque Verde Unified District</t>
  </si>
  <si>
    <t>Telesis Center for Learning, Inc.</t>
  </si>
  <si>
    <t>078761000</t>
  </si>
  <si>
    <t>Tempe Preparatory Academy</t>
  </si>
  <si>
    <t>Tempe School District</t>
  </si>
  <si>
    <t>070513000</t>
  </si>
  <si>
    <t>Tempe Union High School District</t>
  </si>
  <si>
    <t>000000000</t>
  </si>
  <si>
    <t>Test District</t>
  </si>
  <si>
    <t>Thatcher Unified District</t>
  </si>
  <si>
    <t>The Boys &amp; Girls Clubs of the Valley</t>
  </si>
  <si>
    <t>The Charter Foundation, Inc.</t>
  </si>
  <si>
    <t>078213000</t>
  </si>
  <si>
    <t>The Farm at Mission Montessori Academy</t>
  </si>
  <si>
    <t>The Grande Innovation Academy</t>
  </si>
  <si>
    <t>The Odyssey Preparatory Academy, Inc.</t>
  </si>
  <si>
    <t>The Paideia Academies, Inc</t>
  </si>
  <si>
    <t>078411000</t>
  </si>
  <si>
    <t>Think Through Academy</t>
  </si>
  <si>
    <t>078911000</t>
  </si>
  <si>
    <t>ThrivePoint High School, Inc.</t>
  </si>
  <si>
    <t>Tolleson Elementary District</t>
  </si>
  <si>
    <t>070514000</t>
  </si>
  <si>
    <t>Tolleson Union High School District</t>
  </si>
  <si>
    <t>Toltec School District</t>
  </si>
  <si>
    <t>Tombstone Unified District</t>
  </si>
  <si>
    <t>Tonto Basin Elementary District</t>
  </si>
  <si>
    <t>Topock Elementary District</t>
  </si>
  <si>
    <t>Triumphant Learning Center</t>
  </si>
  <si>
    <t>078591000</t>
  </si>
  <si>
    <t>Trivium Preparatory Academy</t>
  </si>
  <si>
    <t>Tuba City Unified School District #15</t>
  </si>
  <si>
    <t>Tucson Country Day School, Inc.</t>
  </si>
  <si>
    <t>Tucson International Academy, Inc.</t>
  </si>
  <si>
    <t>108768000</t>
  </si>
  <si>
    <t>Tucson Preparatory School</t>
  </si>
  <si>
    <t>Tucson Unified District</t>
  </si>
  <si>
    <t>108660000</t>
  </si>
  <si>
    <t>Tucson Youth Development/ACE Charter High School</t>
  </si>
  <si>
    <t>Twenty First Century Charter School, Inc. Bennett Academy</t>
  </si>
  <si>
    <t>Union Elementary District</t>
  </si>
  <si>
    <t>Vail Unified District</t>
  </si>
  <si>
    <t>Valentine Elementary District</t>
  </si>
  <si>
    <t>Valley of the Sun Waldorf Education Association, dba Desert Marigold School</t>
  </si>
  <si>
    <t>020522000</t>
  </si>
  <si>
    <t>Valley Union High School District</t>
  </si>
  <si>
    <t>078104000</t>
  </si>
  <si>
    <t>Valor Preparatory Academy, LLC</t>
  </si>
  <si>
    <t>Vector School District, Inc.</t>
  </si>
  <si>
    <t>078984000</t>
  </si>
  <si>
    <t>Veritas Preparatory Academy</t>
  </si>
  <si>
    <t>Vernon Elementary District</t>
  </si>
  <si>
    <t>Victory Collegiate Academy Corporation</t>
  </si>
  <si>
    <t>Villa Montessori Charter School</t>
  </si>
  <si>
    <t>078960000</t>
  </si>
  <si>
    <t>Vista Charter School</t>
  </si>
  <si>
    <t>Vista College Preparatory, Inc.</t>
  </si>
  <si>
    <t>Washington Elementary School District</t>
  </si>
  <si>
    <t>Wellton Elementary District</t>
  </si>
  <si>
    <t>Wenden Elementary District</t>
  </si>
  <si>
    <t>West Gilbert Charter Elementary School, Inc.</t>
  </si>
  <si>
    <t>West Gilbert Charter Middle School, Inc.</t>
  </si>
  <si>
    <t>West Valley Arts and Technology Academy, Inc.</t>
  </si>
  <si>
    <t>078221000</t>
  </si>
  <si>
    <t>Western School of Science and Technology, Inc.</t>
  </si>
  <si>
    <t>Whiteriver Unified District</t>
  </si>
  <si>
    <t>Wickenburg Unified District</t>
  </si>
  <si>
    <t>Willcox Unified District</t>
  </si>
  <si>
    <t>Williams Unified District</t>
  </si>
  <si>
    <t>Wilson Elementary District</t>
  </si>
  <si>
    <t>Window Rock Unified District</t>
  </si>
  <si>
    <t>Winslow Unified District</t>
  </si>
  <si>
    <t>Yarnell Elementary District</t>
  </si>
  <si>
    <t>130199000</t>
  </si>
  <si>
    <t>Yavapai Accommodation School District</t>
  </si>
  <si>
    <t>211024000</t>
  </si>
  <si>
    <t>Yavapai County Juvenile Justice Center</t>
  </si>
  <si>
    <t>136014000</t>
  </si>
  <si>
    <t>Yavapai County Sheriff's Office</t>
  </si>
  <si>
    <t>Young Elementary District</t>
  </si>
  <si>
    <t>Young Scholars Academy Charter School Corp.</t>
  </si>
  <si>
    <t>Yucca Elementary District</t>
  </si>
  <si>
    <t>211025000</t>
  </si>
  <si>
    <t>Yuma County Juvenile Justice Center</t>
  </si>
  <si>
    <t>146015000</t>
  </si>
  <si>
    <t>Yuma County Sheriffs Office</t>
  </si>
  <si>
    <t>Yuma Elementary District</t>
  </si>
  <si>
    <t>148758000</t>
  </si>
  <si>
    <t>Yuma Private Industry Council, Inc.</t>
  </si>
  <si>
    <t>140570000</t>
  </si>
  <si>
    <t>Yuma Union High School District</t>
  </si>
  <si>
    <t>Federal award identification requirement</t>
  </si>
  <si>
    <t>Field</t>
  </si>
  <si>
    <t>Source</t>
  </si>
  <si>
    <r>
      <t xml:space="preserve">LOCATION(S) IN GME </t>
    </r>
    <r>
      <rPr>
        <i/>
        <sz val="11"/>
        <color rgb="FFFF0000"/>
        <rFont val="Calibri"/>
        <family val="2"/>
        <scheme val="minor"/>
      </rPr>
      <t>(NOTE:  all locations where data and awards/allocations are displayed are updated if/when those items are updated for any reason within GME)</t>
    </r>
  </si>
  <si>
    <t>Example</t>
  </si>
  <si>
    <t>(i) Subrecipient name (which must match the name associated with its unique entity identifier);</t>
  </si>
  <si>
    <t>LEA Name</t>
  </si>
  <si>
    <t>GME Organization Name</t>
  </si>
  <si>
    <t>Entity Information page which has links to:</t>
  </si>
  <si>
    <t>-  Funding Applications</t>
  </si>
  <si>
    <t>-  Reimbursement Requests</t>
  </si>
  <si>
    <t>-  General Statement of Assurances</t>
  </si>
  <si>
    <t>-  Indirect Cost</t>
  </si>
  <si>
    <t>-  Self Assessment</t>
  </si>
  <si>
    <t>Young Scholars Academy Charter School Corp</t>
  </si>
  <si>
    <t>-  Project Summary</t>
  </si>
  <si>
    <t>Multiple on-demand reports from GME relating to grant properties and/or for federal reporting</t>
  </si>
  <si>
    <t>All pages in GME contain the subrecipient name associated with it's uniue entity identifier; please note that some are DBAs and as such, the name will reflect as shown on SAM.gov to include the DBA found there.</t>
  </si>
  <si>
    <t>(ii) Subrecipient's unique entity identifier;</t>
  </si>
  <si>
    <t>Organization Number</t>
  </si>
  <si>
    <t>GME CTDS Number</t>
  </si>
  <si>
    <r>
      <rPr>
        <b/>
        <sz val="11"/>
        <color theme="1"/>
        <rFont val="Calibri"/>
        <family val="2"/>
        <scheme val="minor"/>
      </rPr>
      <t>Federal UEI</t>
    </r>
    <r>
      <rPr>
        <sz val="11"/>
        <color theme="1"/>
        <rFont val="Calibri"/>
        <family val="2"/>
        <scheme val="minor"/>
      </rPr>
      <t xml:space="preserve"> is found on the Entity Information page and in the General Statement of Assurances for federal reporting and compliance</t>
    </r>
  </si>
  <si>
    <r>
      <rPr>
        <b/>
        <sz val="11"/>
        <color theme="1"/>
        <rFont val="Calibri"/>
        <family val="2"/>
        <scheme val="minor"/>
      </rPr>
      <t>ADE's unique identifier (CTDS #)</t>
    </r>
    <r>
      <rPr>
        <sz val="11"/>
        <color theme="1"/>
        <rFont val="Calibri"/>
        <family val="2"/>
        <scheme val="minor"/>
      </rPr>
      <t xml:space="preserve">, which is what is used for ADE grant funding purposes, is found on </t>
    </r>
    <r>
      <rPr>
        <u/>
        <sz val="11"/>
        <color theme="1"/>
        <rFont val="Calibri"/>
        <family val="2"/>
        <scheme val="minor"/>
      </rPr>
      <t>every</t>
    </r>
    <r>
      <rPr>
        <sz val="11"/>
        <color theme="1"/>
        <rFont val="Calibri"/>
        <family val="2"/>
        <scheme val="minor"/>
      </rPr>
      <t xml:space="preserve"> page in GME on which the entity name is displayed</t>
    </r>
  </si>
  <si>
    <r>
      <rPr>
        <b/>
        <sz val="11"/>
        <color theme="1"/>
        <rFont val="Calibri"/>
        <family val="2"/>
        <scheme val="minor"/>
      </rPr>
      <t>Grants Management converted to UEI from DUNs within the GME system as of April 3, 2022 per Federal guidance for basic reporting purposes and for ongoing verification of entities applying for federal funding.  This is a compliance requirement</t>
    </r>
    <r>
      <rPr>
        <sz val="11"/>
        <color theme="1"/>
        <rFont val="Calibri"/>
        <family val="2"/>
        <scheme val="minor"/>
      </rPr>
      <t>.</t>
    </r>
    <r>
      <rPr>
        <i/>
        <sz val="11"/>
        <color theme="1"/>
        <rFont val="Calibri"/>
        <family val="2"/>
        <scheme val="minor"/>
      </rPr>
      <t xml:space="preserve">  </t>
    </r>
  </si>
  <si>
    <t xml:space="preserve">Federal UEI will also be added to canned reports within GME as well as other designated pages/sections in GME which are accessed for reporting and compliance purposes.  ADE has also initiated a project of large scope to add UEIs to all entity profiles in the agency organizational database.  </t>
  </si>
  <si>
    <t>(iii) Federal Award Identification Number (FAIN);</t>
  </si>
  <si>
    <t>Federal Award Identification Number (FAIN):</t>
  </si>
  <si>
    <t>GAN from US ED</t>
  </si>
  <si>
    <t>Project Summary - Project Summary View (accessed by clicking on the individual project number for each grant on the main Project Summary page).</t>
  </si>
  <si>
    <t>Fund Alerts (Grants Management Resource Library</t>
  </si>
  <si>
    <t>Allocation Source Summary Report</t>
  </si>
  <si>
    <t>Currently on the list of pending system enhancements to add FAIN to  Reimbursement Request Summary page and other pages still under review</t>
  </si>
  <si>
    <t>(iv) Federal Award Date (see the definition of Federal award date in § 200.1 of this part) of award to the recipient by the Federal agency;</t>
  </si>
  <si>
    <t xml:space="preserve">Federal Award Date: </t>
  </si>
  <si>
    <t>Project Summary&gt; Project Summary View (accessed by clicking on the individual project number for each grant on the main Project Summary page).</t>
  </si>
  <si>
    <t>Reimbursement Request Summary</t>
  </si>
  <si>
    <t>Allocation Source Summary Report and ultiple on-demand reports from GME relating to grant properties and/or for federal reporting</t>
  </si>
  <si>
    <t>Awarded allocations drill-down by grant on each entity Allocations page in the GME funding application for each grant.  (For each individual award year's funds awarded)</t>
  </si>
  <si>
    <t>(v) Subaward Period of Performance Start and End Date;</t>
  </si>
  <si>
    <t>Award Start Date:</t>
  </si>
  <si>
    <t>GME Project summary Project Begin Date</t>
  </si>
  <si>
    <t>(vi) Subaward Budget Period Start and End Date;</t>
  </si>
  <si>
    <t xml:space="preserve">Award End Date: </t>
  </si>
  <si>
    <t>GME Project summary Project End Date</t>
  </si>
  <si>
    <t>(vii) Amount of Federal Funds Obligated by this action by the pass-through entity to the subrecipient;</t>
  </si>
  <si>
    <t xml:space="preserve">Allocation to PEA: </t>
  </si>
  <si>
    <t>Allocation by Source Original</t>
  </si>
  <si>
    <t>Project Summary main page, (updated if allocation to entity changes)</t>
  </si>
  <si>
    <t>Allocation by Source (Original) report</t>
  </si>
  <si>
    <t>Funding Application Allocations page (within each grant's application)</t>
  </si>
  <si>
    <t>(viii) Total Amount of Federal Funds Obligated to the subrecipient by the pass-through entity including the current financial obligation;</t>
  </si>
  <si>
    <t>All Federal IDEA Allocations to PEA:</t>
  </si>
  <si>
    <t>(Allocation for current FAY, incoming carryover, any IDEA setaside)</t>
  </si>
  <si>
    <t>Allocation by Source report (all source types, i.e., Original allocation, incoming carryover, additional, etc) report</t>
  </si>
  <si>
    <t>(ix) Total Amount of the Federal Award committed to the subrecipient by the pass-through entity;</t>
  </si>
  <si>
    <t>(x) Federal award project description, as required to be responsive to the Federal Funding Accountability and Transparency Act (FFATA);</t>
  </si>
  <si>
    <t>IDEA Project Description:</t>
  </si>
  <si>
    <t>FFATA statement from Fund Alert</t>
  </si>
  <si>
    <t>FFATA &amp; GSA Verification page within each grant's funding application in GME</t>
  </si>
  <si>
    <t>FFATA monthly summary report in GME (data utilized for monthly FFATA reporting</t>
  </si>
  <si>
    <t>(xi) Name of Federal awarding agency, pass-through entity, and contact information for awarding official of the Pass-through entity;</t>
  </si>
  <si>
    <t>US Department of Education, Arizona Department of Education, Candice Trainor Director of Finance, 6025423398</t>
  </si>
  <si>
    <t>US Department of Education, Arizona Department of Education, Alissa Trollinger DAS 6025424013</t>
  </si>
  <si>
    <t>(xii) Assistance Listings number and Title; the pass-through entity must identify the dollar amount made available under each Federal award and the Assistance Listings Number at time of disbursement;</t>
  </si>
  <si>
    <t>GME Allocations</t>
  </si>
  <si>
    <r>
      <t xml:space="preserve">Project Summary&gt; Project Summary View </t>
    </r>
    <r>
      <rPr>
        <i/>
        <sz val="11"/>
        <color theme="1"/>
        <rFont val="Calibri"/>
        <family val="2"/>
        <scheme val="minor"/>
      </rPr>
      <t>(accessed by clicking on the individual project number for each grant on the main Project Summary page)</t>
    </r>
    <r>
      <rPr>
        <sz val="11"/>
        <color theme="1"/>
        <rFont val="Calibri"/>
        <family val="2"/>
        <scheme val="minor"/>
      </rPr>
      <t xml:space="preserve"> - Project Information and Fiscal Transactions sections.</t>
    </r>
  </si>
  <si>
    <t>Reimbursement Request - Request page &gt; General Information and Fiscal Summary sections</t>
  </si>
  <si>
    <t>$222 million</t>
  </si>
  <si>
    <t>(xiii) Identification of whether the award is R&amp;D; and</t>
  </si>
  <si>
    <t>Research &amp; Development</t>
  </si>
  <si>
    <t>N/A</t>
  </si>
  <si>
    <t>(xiv) Indirect cost rate for the Federal award (including if the de minimis rate is charged) per § 200.414.</t>
  </si>
  <si>
    <t>GME Indirect Cost</t>
  </si>
  <si>
    <t>Entity Information page which has link to Indirect Cost page</t>
  </si>
  <si>
    <t>Indirect Cost page within each grant funding application</t>
  </si>
  <si>
    <t>Organization Name</t>
  </si>
  <si>
    <t>County</t>
  </si>
  <si>
    <t>Application</t>
  </si>
  <si>
    <t>Status</t>
  </si>
  <si>
    <t>Status Date</t>
  </si>
  <si>
    <t>Application State</t>
  </si>
  <si>
    <t>Program Specialist</t>
  </si>
  <si>
    <t>GM User</t>
  </si>
  <si>
    <t>Pinal</t>
  </si>
  <si>
    <t>IDEA Part B Consolidated</t>
  </si>
  <si>
    <t>SEA IDEA Part B Consolidated Director Approved</t>
  </si>
  <si>
    <t>Application Revision</t>
  </si>
  <si>
    <t>Pima</t>
  </si>
  <si>
    <t>SEA IDEA Part B Consolidated Program Specialist Approved</t>
  </si>
  <si>
    <t>Mohave</t>
  </si>
  <si>
    <t>Revision Started</t>
  </si>
  <si>
    <t>SEA IDEA Part B Consolidated Program Specialist Returned Not Approved</t>
  </si>
  <si>
    <t>Maricopa</t>
  </si>
  <si>
    <t>Yavapai</t>
  </si>
  <si>
    <t>Revision Completed</t>
  </si>
  <si>
    <t>LEA Authorized Representative Approved</t>
  </si>
  <si>
    <t>Original Application</t>
  </si>
  <si>
    <t>Apache</t>
  </si>
  <si>
    <t>Yuma</t>
  </si>
  <si>
    <t>LEA Business Manager Approved</t>
  </si>
  <si>
    <t>Not Started</t>
  </si>
  <si>
    <t>Cochise</t>
  </si>
  <si>
    <t>Draft Started</t>
  </si>
  <si>
    <t>Coconino</t>
  </si>
  <si>
    <t>La Paz</t>
  </si>
  <si>
    <t>Navajo</t>
  </si>
  <si>
    <t>Graham</t>
  </si>
  <si>
    <t>Gila</t>
  </si>
  <si>
    <t>Greenlee</t>
  </si>
  <si>
    <t>Santa Cruz</t>
  </si>
  <si>
    <t>Districts</t>
  </si>
  <si>
    <r>
      <rPr>
        <b/>
        <sz val="10"/>
        <color rgb="FF000000"/>
        <rFont val="Arial"/>
      </rPr>
      <t>Type:</t>
    </r>
    <r>
      <rPr>
        <sz val="10"/>
        <color rgb="FF000000"/>
        <rFont val="Arial"/>
      </rPr>
      <t xml:space="preserve"> </t>
    </r>
    <r>
      <rPr>
        <sz val="10"/>
        <color rgb="FF000000"/>
        <rFont val="Arial"/>
      </rPr>
      <t>Public District; Charter District; Prospective Charter District; Public Agency; Private Agency; Other; Childcare Provider; Test District; Non-Public Organization; Bureau of Indian Education; County IDC (no allocation); County School Superintendent; County ESA; County Other</t>
    </r>
  </si>
  <si>
    <r>
      <rPr>
        <b/>
        <sz val="10"/>
        <color rgb="FF000000"/>
        <rFont val="Arial"/>
      </rPr>
      <t>Status:</t>
    </r>
    <r>
      <rPr>
        <sz val="10"/>
        <color rgb="FF000000"/>
        <rFont val="Arial"/>
      </rPr>
      <t xml:space="preserve"> </t>
    </r>
    <r>
      <rPr>
        <sz val="10"/>
        <color rgb="FF000000"/>
        <rFont val="Arial"/>
      </rPr>
      <t>Open; Closed</t>
    </r>
  </si>
  <si>
    <t>District Code</t>
  </si>
  <si>
    <t>Entity ID</t>
  </si>
  <si>
    <t>District Name</t>
  </si>
  <si>
    <t>Most Recent Status Change</t>
  </si>
  <si>
    <t>Type</t>
  </si>
  <si>
    <t>Location Code</t>
  </si>
  <si>
    <t>Legal Name</t>
  </si>
  <si>
    <t>Address</t>
  </si>
  <si>
    <t>City</t>
  </si>
  <si>
    <t>State</t>
  </si>
  <si>
    <t>Zip Code</t>
  </si>
  <si>
    <t>Congressional District</t>
  </si>
  <si>
    <t>DUNS Number</t>
  </si>
  <si>
    <t>UEI Number</t>
  </si>
  <si>
    <t>Pay County</t>
  </si>
  <si>
    <t>High Risk</t>
  </si>
  <si>
    <r>
      <rPr>
        <b/>
        <sz val="10"/>
        <color rgb="FFFFFFFF"/>
        <rFont val="Arial"/>
      </rPr>
      <t xml:space="preserve">CCR Expiration Date
</t>
    </r>
  </si>
  <si>
    <t>072111000</t>
  </si>
  <si>
    <t>81176</t>
  </si>
  <si>
    <t>4 Success Schools, LLC</t>
  </si>
  <si>
    <t>Closed</t>
  </si>
  <si>
    <t>Private Agency</t>
  </si>
  <si>
    <t>809771632</t>
  </si>
  <si>
    <t>No</t>
  </si>
  <si>
    <t>018752000</t>
  </si>
  <si>
    <t>4-Winds Academy  Incorporated dba 4-Winds Academy</t>
  </si>
  <si>
    <t>Charter District</t>
  </si>
  <si>
    <t>138761000</t>
  </si>
  <si>
    <t>79457</t>
  </si>
  <si>
    <t>A Center for Creative Education</t>
  </si>
  <si>
    <t>10463</t>
  </si>
  <si>
    <t>Center for Creative Education</t>
  </si>
  <si>
    <t>215 S Main Street</t>
  </si>
  <si>
    <t>Cottonwood</t>
  </si>
  <si>
    <t>Arizona</t>
  </si>
  <si>
    <t>863263908</t>
  </si>
  <si>
    <t>04 - Fourth Congressional District</t>
  </si>
  <si>
    <t>036934110</t>
  </si>
  <si>
    <t>108731000</t>
  </si>
  <si>
    <t>87344</t>
  </si>
  <si>
    <t>A Child's View School, Inc.</t>
  </si>
  <si>
    <t>Open</t>
  </si>
  <si>
    <t>10539</t>
  </si>
  <si>
    <t>2846 W. Drexel Road STE 100</t>
  </si>
  <si>
    <t>Tucson</t>
  </si>
  <si>
    <t>857463824</t>
  </si>
  <si>
    <t>794555354</t>
  </si>
  <si>
    <t>073024000</t>
  </si>
  <si>
    <t>9018</t>
  </si>
  <si>
    <t>A Kiddie's Kingdom, Inc.</t>
  </si>
  <si>
    <t>Childcare Provider</t>
  </si>
  <si>
    <t>14121</t>
  </si>
  <si>
    <t>2318 N. 35th Ave.</t>
  </si>
  <si>
    <t>Phoenix</t>
  </si>
  <si>
    <t>850091418</t>
  </si>
  <si>
    <t>07 - Seventh Congressional District</t>
  </si>
  <si>
    <t>C181PLKPAAM9</t>
  </si>
  <si>
    <t>072122000</t>
  </si>
  <si>
    <t>7320</t>
  </si>
  <si>
    <t>A New Leaf</t>
  </si>
  <si>
    <t>15171</t>
  </si>
  <si>
    <t>A New Leaf, Inc.</t>
  </si>
  <si>
    <t>868 E. University Drive</t>
  </si>
  <si>
    <t>Mesa</t>
  </si>
  <si>
    <t>AZ</t>
  </si>
  <si>
    <t>85203-8033</t>
  </si>
  <si>
    <t>611923640</t>
  </si>
  <si>
    <t>MLZVKA7M2219</t>
  </si>
  <si>
    <t>073550000</t>
  </si>
  <si>
    <t>89463</t>
  </si>
  <si>
    <t>A Shining Star Preschool Inc.</t>
  </si>
  <si>
    <t>Bureau of Indian Education</t>
  </si>
  <si>
    <t>15493</t>
  </si>
  <si>
    <t>Shining Star Preschool, Inc, A</t>
  </si>
  <si>
    <t>810 E Southern</t>
  </si>
  <si>
    <t>852045006</t>
  </si>
  <si>
    <t>09 - Ninth Congressional District</t>
  </si>
  <si>
    <t>966757440</t>
  </si>
  <si>
    <t>071609000</t>
  </si>
  <si>
    <t>91844</t>
  </si>
  <si>
    <t>A Stepping Stone Foundation/Westwood Preschool &amp; Adult Literacy</t>
  </si>
  <si>
    <t>15739</t>
  </si>
  <si>
    <t>2851 W KATHLEEN RD</t>
  </si>
  <si>
    <t>PHOENIX</t>
  </si>
  <si>
    <t>850534053</t>
  </si>
  <si>
    <t>06 - Sixth Congressional District</t>
  </si>
  <si>
    <t>112178640</t>
  </si>
  <si>
    <t>1000166</t>
  </si>
  <si>
    <t>10751</t>
  </si>
  <si>
    <t>41735 W. Alan Stephens PKWY, STE 1555</t>
  </si>
  <si>
    <t>85138-4695</t>
  </si>
  <si>
    <t>02 - Second Congressional District</t>
  </si>
  <si>
    <t>116755441</t>
  </si>
  <si>
    <t>JCEKF2JBLAV6</t>
  </si>
  <si>
    <t>078738000</t>
  </si>
  <si>
    <t>ABC Alternative Learning Center, Inc.</t>
  </si>
  <si>
    <t>073512000</t>
  </si>
  <si>
    <t>85801</t>
  </si>
  <si>
    <t>ABC Preschool</t>
  </si>
  <si>
    <t>14213</t>
  </si>
  <si>
    <t>6311 S RURAL RD</t>
  </si>
  <si>
    <t>TEMPE</t>
  </si>
  <si>
    <t>852832905</t>
  </si>
  <si>
    <t>078689000</t>
  </si>
  <si>
    <t>994822</t>
  </si>
  <si>
    <t>Abraham Lincoln Preparatory School:  A Challenge Foundation Academy</t>
  </si>
  <si>
    <t>10713</t>
  </si>
  <si>
    <t>Abraham Lincoln Preparatory School</t>
  </si>
  <si>
    <t>8840 N 43rd Ave</t>
  </si>
  <si>
    <t>Glendale</t>
  </si>
  <si>
    <t>853025315</t>
  </si>
  <si>
    <t>080875728</t>
  </si>
  <si>
    <t>108718000</t>
  </si>
  <si>
    <t>Academic and Personal Excellence  Inc.</t>
  </si>
  <si>
    <t>080208710</t>
  </si>
  <si>
    <t>Academic Success Charter School</t>
  </si>
  <si>
    <t>90199</t>
  </si>
  <si>
    <t>10105</t>
  </si>
  <si>
    <t>Academy Del Sol</t>
  </si>
  <si>
    <t>7102 W. Valley Crest Pl.</t>
  </si>
  <si>
    <t>857578709</t>
  </si>
  <si>
    <t>021846715</t>
  </si>
  <si>
    <t>QZLJBKBC2J66</t>
  </si>
  <si>
    <t>078799000</t>
  </si>
  <si>
    <t>Academy of Arizona</t>
  </si>
  <si>
    <t>85540</t>
  </si>
  <si>
    <t>10518</t>
  </si>
  <si>
    <t>Academy of Building Industries</t>
  </si>
  <si>
    <t>1547 E. Lipan Blvd.</t>
  </si>
  <si>
    <t>Fort Mohave</t>
  </si>
  <si>
    <t>864266031</t>
  </si>
  <si>
    <t>793724605</t>
  </si>
  <si>
    <t>K13KLGNX74T6</t>
  </si>
  <si>
    <t>078604000</t>
  </si>
  <si>
    <t>4296</t>
  </si>
  <si>
    <t>Academy Of Excellence, Inc.</t>
  </si>
  <si>
    <t>10217</t>
  </si>
  <si>
    <t>425 N 36TH ST</t>
  </si>
  <si>
    <t>850086303</t>
  </si>
  <si>
    <t>074025847</t>
  </si>
  <si>
    <t>138766000</t>
  </si>
  <si>
    <t>Academy of Hope  The</t>
  </si>
  <si>
    <t>109499000</t>
  </si>
  <si>
    <t>92973</t>
  </si>
  <si>
    <t>Academy of Math and Science, Mesa</t>
  </si>
  <si>
    <t>Prospective Charter District</t>
  </si>
  <si>
    <t>90878</t>
  </si>
  <si>
    <t>10566</t>
  </si>
  <si>
    <t>Academy of Mathematics and Science South, Inc</t>
  </si>
  <si>
    <t>3335 W Flower St</t>
  </si>
  <si>
    <t>850174802</t>
  </si>
  <si>
    <t>968199500</t>
  </si>
  <si>
    <t>M1QLC99MALS9</t>
  </si>
  <si>
    <t>92768</t>
  </si>
  <si>
    <t>10598</t>
  </si>
  <si>
    <t>ACADEMY OF MATH &amp; SCIENCE INC</t>
  </si>
  <si>
    <t>1557 W Prince RD</t>
  </si>
  <si>
    <t>857053023</t>
  </si>
  <si>
    <t>941215084</t>
  </si>
  <si>
    <t>KRC5GNVNRTM6</t>
  </si>
  <si>
    <t>79961</t>
  </si>
  <si>
    <t>10393</t>
  </si>
  <si>
    <t>78897</t>
  </si>
  <si>
    <t>10104</t>
  </si>
  <si>
    <t>10720 E 22ND ST</t>
  </si>
  <si>
    <t>85748-7029</t>
  </si>
  <si>
    <t>182623777</t>
  </si>
  <si>
    <t>CJBNXNM4KB69</t>
  </si>
  <si>
    <t>79213</t>
  </si>
  <si>
    <t>10101</t>
  </si>
  <si>
    <t>Academy with Community Partners - Arizona, inc.</t>
  </si>
  <si>
    <t>433 N Hall</t>
  </si>
  <si>
    <t>85203</t>
  </si>
  <si>
    <t>946547338</t>
  </si>
  <si>
    <t>LEKMN9VU1ZH3</t>
  </si>
  <si>
    <t>072164000</t>
  </si>
  <si>
    <t>7355</t>
  </si>
  <si>
    <t>ACCEL</t>
  </si>
  <si>
    <t>Other</t>
  </si>
  <si>
    <t>10636</t>
  </si>
  <si>
    <t>10251 N. 35th Ave</t>
  </si>
  <si>
    <t>850511305</t>
  </si>
  <si>
    <t>102801388</t>
  </si>
  <si>
    <t>108767000</t>
  </si>
  <si>
    <t>6364</t>
  </si>
  <si>
    <t>Accelerated Elementary and Secondary Schools</t>
  </si>
  <si>
    <t>10103</t>
  </si>
  <si>
    <t>5245 N Camino De Oeste</t>
  </si>
  <si>
    <t>857458925</t>
  </si>
  <si>
    <t>03 - Third Congressional District</t>
  </si>
  <si>
    <t>018033303</t>
  </si>
  <si>
    <t>078979000</t>
  </si>
  <si>
    <t>4297</t>
  </si>
  <si>
    <t>Accelerated Learning Center, Inc.</t>
  </si>
  <si>
    <t>138763000</t>
  </si>
  <si>
    <t>78830</t>
  </si>
  <si>
    <t>Accelerated Learning Charter School, Inc.</t>
  </si>
  <si>
    <t>10113</t>
  </si>
  <si>
    <t>320 S MAIN ST</t>
  </si>
  <si>
    <t>COTTONWOOD</t>
  </si>
  <si>
    <t>863263905</t>
  </si>
  <si>
    <t>01 - First Congressional District</t>
  </si>
  <si>
    <t>114344364</t>
  </si>
  <si>
    <t>4325</t>
  </si>
  <si>
    <t>10332</t>
  </si>
  <si>
    <t>ACCLAIM Charter School</t>
  </si>
  <si>
    <t>7624 W Indian School Rd</t>
  </si>
  <si>
    <t>850333009</t>
  </si>
  <si>
    <t>003791105</t>
  </si>
  <si>
    <t>KFMNY4EPWN86</t>
  </si>
  <si>
    <t>132205000</t>
  </si>
  <si>
    <t>79300</t>
  </si>
  <si>
    <t>Acorn Christian Montessori School</t>
  </si>
  <si>
    <t>8556 E LOOS DR</t>
  </si>
  <si>
    <t>Prescott Valley</t>
  </si>
  <si>
    <t>863146455</t>
  </si>
  <si>
    <t>79437</t>
  </si>
  <si>
    <t>10461</t>
  </si>
  <si>
    <t>8556 E Loos DR</t>
  </si>
  <si>
    <t>0144000654</t>
  </si>
  <si>
    <t>UT9HNKTD3735</t>
  </si>
  <si>
    <t>078402000</t>
  </si>
  <si>
    <t>Adams Traditional Middle School, Inc</t>
  </si>
  <si>
    <t>Public Agency</t>
  </si>
  <si>
    <t>142899001</t>
  </si>
  <si>
    <t>10200</t>
  </si>
  <si>
    <t>Adult Literacy Plus of Southwest Arizona</t>
  </si>
  <si>
    <t>15555</t>
  </si>
  <si>
    <t>ADULT LITERACY PLUS OF SOUTHWEST ARIZONA, INC</t>
  </si>
  <si>
    <t>825 South Orange Avenue</t>
  </si>
  <si>
    <t>85364-3802</t>
  </si>
  <si>
    <t>809041291</t>
  </si>
  <si>
    <t>XWSKM26BK555</t>
  </si>
  <si>
    <t>078938000</t>
  </si>
  <si>
    <t>Advanced Education Services</t>
  </si>
  <si>
    <t>078782000</t>
  </si>
  <si>
    <t>78862</t>
  </si>
  <si>
    <t>Advanced Education Services, Inc.</t>
  </si>
  <si>
    <t>10279</t>
  </si>
  <si>
    <t>1470 COOLEY DR</t>
  </si>
  <si>
    <t>COLTON</t>
  </si>
  <si>
    <t>CA</t>
  </si>
  <si>
    <t>953243933</t>
  </si>
  <si>
    <t>848704391</t>
  </si>
  <si>
    <t>078514000</t>
  </si>
  <si>
    <t>Adventure Academies of America</t>
  </si>
  <si>
    <t>4289</t>
  </si>
  <si>
    <t>Public District</t>
  </si>
  <si>
    <t>11241</t>
  </si>
  <si>
    <t>Agua Fria Union High School District #216</t>
  </si>
  <si>
    <t>1481 E. Eliseo Felix Jr Way</t>
  </si>
  <si>
    <t>Avondale</t>
  </si>
  <si>
    <t>85323-1216</t>
  </si>
  <si>
    <t>025566675</t>
  </si>
  <si>
    <t>YLDQMJK9YMM8</t>
  </si>
  <si>
    <t>Yes</t>
  </si>
  <si>
    <t>4249</t>
  </si>
  <si>
    <t>11243</t>
  </si>
  <si>
    <t>Aguila School District 63</t>
  </si>
  <si>
    <t>50023 514TH AVE</t>
  </si>
  <si>
    <t>Aguila</t>
  </si>
  <si>
    <t>853200000</t>
  </si>
  <si>
    <t>002901411</t>
  </si>
  <si>
    <t>SFT7AZ7PHHZ8</t>
  </si>
  <si>
    <t>070260735</t>
  </si>
  <si>
    <t>5170</t>
  </si>
  <si>
    <t>Aha Macav High School</t>
  </si>
  <si>
    <t>078501000</t>
  </si>
  <si>
    <t>85875</t>
  </si>
  <si>
    <t>Ahwatukee Foothills Prep, Inc.</t>
  </si>
  <si>
    <t>10525</t>
  </si>
  <si>
    <t>5835 W Ray Rd</t>
  </si>
  <si>
    <t>chandler</t>
  </si>
  <si>
    <t>85226</t>
  </si>
  <si>
    <t>168519986</t>
  </si>
  <si>
    <t>79053</t>
  </si>
  <si>
    <t>10348</t>
  </si>
  <si>
    <t>6049 North 43RD AVE</t>
  </si>
  <si>
    <t>850191638</t>
  </si>
  <si>
    <t>804027790</t>
  </si>
  <si>
    <t>TU9UE3FKPLW8</t>
  </si>
  <si>
    <t>078919000</t>
  </si>
  <si>
    <t>AIBT Non-Profit Charter High School Inc. - Mesa</t>
  </si>
  <si>
    <t>449790</t>
  </si>
  <si>
    <t>10770</t>
  </si>
  <si>
    <t>AIBT Non-Profit Charter High School, Inc. DBA PEORIA PREP</t>
  </si>
  <si>
    <t>7033 W CACTUS RD BLDG B</t>
  </si>
  <si>
    <t>Peoria</t>
  </si>
  <si>
    <t>853815317</t>
  </si>
  <si>
    <t>08 - Eighth Congressional District</t>
  </si>
  <si>
    <t>081511340</t>
  </si>
  <si>
    <t>L8GJHQ1G3P68</t>
  </si>
  <si>
    <t>078937000</t>
  </si>
  <si>
    <t>Air Academy Charter High School</t>
  </si>
  <si>
    <t>078970000</t>
  </si>
  <si>
    <t>79977</t>
  </si>
  <si>
    <t>Air Academy Charter High School dba Thomas Jefferson High Sc</t>
  </si>
  <si>
    <t>10451</t>
  </si>
  <si>
    <t>113004000</t>
  </si>
  <si>
    <t>1002131</t>
  </si>
  <si>
    <t>Aisling Village LLC</t>
  </si>
  <si>
    <t>850 S Ironwood Drive #114</t>
  </si>
  <si>
    <t>Apache Junction</t>
  </si>
  <si>
    <t>85120</t>
  </si>
  <si>
    <t>05 - Fifth Congressional District</t>
  </si>
  <si>
    <t>4409</t>
  </si>
  <si>
    <t>11417</t>
  </si>
  <si>
    <t>Ajo Unified School District DBA Ajo Unified School District 15</t>
  </si>
  <si>
    <t>111 N Well Rd</t>
  </si>
  <si>
    <t>Ajo</t>
  </si>
  <si>
    <t>853211840</t>
  </si>
  <si>
    <t>050300557</t>
  </si>
  <si>
    <t>NSB1M6BNXNC9</t>
  </si>
  <si>
    <t>112205000</t>
  </si>
  <si>
    <t>10082</t>
  </si>
  <si>
    <t>AK-CHIN Indian Community</t>
  </si>
  <si>
    <t>14187</t>
  </si>
  <si>
    <t>42507 W PETERS &amp; NALL RD</t>
  </si>
  <si>
    <t>851383940</t>
  </si>
  <si>
    <t>182376145</t>
  </si>
  <si>
    <t>5978</t>
  </si>
  <si>
    <t>10118</t>
  </si>
  <si>
    <t>AKIMEL O'OTHAM PEE POSH CHARTER SCHOOL, INC.</t>
  </si>
  <si>
    <t>3652 E BLACKWATER SCHOOL RD</t>
  </si>
  <si>
    <t>COOLIDGE</t>
  </si>
  <si>
    <t>851286609</t>
  </si>
  <si>
    <t>961968521</t>
  </si>
  <si>
    <t>G46QRKKYCMY3</t>
  </si>
  <si>
    <t>78966</t>
  </si>
  <si>
    <t>10244</t>
  </si>
  <si>
    <t>Akimel O'Otham Pee Posh Charter School Inc. Akimel O'otham Pee Posh 3-5</t>
  </si>
  <si>
    <t>3652 E Blackwater school Rd.</t>
  </si>
  <si>
    <t>Coolidge</t>
  </si>
  <si>
    <t>796634249</t>
  </si>
  <si>
    <t>S6MCB6YAACM3</t>
  </si>
  <si>
    <t>071982000</t>
  </si>
  <si>
    <t>92947</t>
  </si>
  <si>
    <t>Aleph Bet Preschool &amp; Kindergarten</t>
  </si>
  <si>
    <t>10652</t>
  </si>
  <si>
    <t>Merkos Chabad-Lubavitch ORG. INC</t>
  </si>
  <si>
    <t>2110 E. Lincoln Dr.</t>
  </si>
  <si>
    <t>850161123</t>
  </si>
  <si>
    <t>175181101</t>
  </si>
  <si>
    <t>GJHMMWUS8LK1</t>
  </si>
  <si>
    <t>078690000</t>
  </si>
  <si>
    <t>724050</t>
  </si>
  <si>
    <t>Alexander Hamilton Community School:  A Challenge Foundation Academy</t>
  </si>
  <si>
    <t>10714</t>
  </si>
  <si>
    <t>Alexander Hamilton Community School</t>
  </si>
  <si>
    <t>080875692</t>
  </si>
  <si>
    <t>078554000</t>
  </si>
  <si>
    <t>90164</t>
  </si>
  <si>
    <t>Alhambra Education Partnerships, Inc.</t>
  </si>
  <si>
    <t>850193206</t>
  </si>
  <si>
    <t>832413962</t>
  </si>
  <si>
    <t>4280</t>
  </si>
  <si>
    <t>11245</t>
  </si>
  <si>
    <t>Alhambra Elementary School District</t>
  </si>
  <si>
    <t>4510 N 37TH AVE</t>
  </si>
  <si>
    <t>85019-3206</t>
  </si>
  <si>
    <t>074484726</t>
  </si>
  <si>
    <t>MFFQJLG4KY23</t>
  </si>
  <si>
    <t>078967000</t>
  </si>
  <si>
    <t>79969</t>
  </si>
  <si>
    <t>All Aboard Charter School</t>
  </si>
  <si>
    <t>10407</t>
  </si>
  <si>
    <t>5827 N. 35th Ave.</t>
  </si>
  <si>
    <t>850171915</t>
  </si>
  <si>
    <t>128392177</t>
  </si>
  <si>
    <t>LZMBTHCSJAE6</t>
  </si>
  <si>
    <t>072127000</t>
  </si>
  <si>
    <t>All Access Tutoring Group</t>
  </si>
  <si>
    <t>073462000</t>
  </si>
  <si>
    <t>79710</t>
  </si>
  <si>
    <t>All Together Now Preschool and Childcare</t>
  </si>
  <si>
    <t>All Together Now LLC</t>
  </si>
  <si>
    <t>516 S DOBSON RD</t>
  </si>
  <si>
    <t>852021835</t>
  </si>
  <si>
    <t>078724000</t>
  </si>
  <si>
    <t>4347</t>
  </si>
  <si>
    <t>Allen-Cochran Enterprises, Inc.</t>
  </si>
  <si>
    <t>10202</t>
  </si>
  <si>
    <t>182655647</t>
  </si>
  <si>
    <t>108716000</t>
  </si>
  <si>
    <t>81031</t>
  </si>
  <si>
    <t>Allsport Academy</t>
  </si>
  <si>
    <t>10513</t>
  </si>
  <si>
    <t>165483673</t>
  </si>
  <si>
    <t>4161</t>
  </si>
  <si>
    <t>11105</t>
  </si>
  <si>
    <t>ALPINE ELEMENTARY SCHOOL DISTRICT 7</t>
  </si>
  <si>
    <t>county RD 2311 STE 101</t>
  </si>
  <si>
    <t>Alpine</t>
  </si>
  <si>
    <t>859200170</t>
  </si>
  <si>
    <t>002900314</t>
  </si>
  <si>
    <t>C7FLNRYJNCU2</t>
  </si>
  <si>
    <t>4418</t>
  </si>
  <si>
    <t>11419</t>
  </si>
  <si>
    <t>Altar Valley District 51</t>
  </si>
  <si>
    <t>10105 S Sasabe Road</t>
  </si>
  <si>
    <t>85736-1226</t>
  </si>
  <si>
    <t>621329614</t>
  </si>
  <si>
    <t>NYQLQPYMG2E5</t>
  </si>
  <si>
    <t>103137000</t>
  </si>
  <si>
    <t>335892</t>
  </si>
  <si>
    <t>Amani Academy Inc</t>
  </si>
  <si>
    <t>10673</t>
  </si>
  <si>
    <t>131 E Mohave Rd</t>
  </si>
  <si>
    <t>857053621</t>
  </si>
  <si>
    <t>080032057</t>
  </si>
  <si>
    <t>078529000</t>
  </si>
  <si>
    <t>89550</t>
  </si>
  <si>
    <t>Ambassador Academy</t>
  </si>
  <si>
    <t>10224</t>
  </si>
  <si>
    <t>3820 E RAY RD STE 8</t>
  </si>
  <si>
    <t>850447159</t>
  </si>
  <si>
    <t>859791712</t>
  </si>
  <si>
    <t>078989000</t>
  </si>
  <si>
    <t>79215</t>
  </si>
  <si>
    <t>American Basic Schools LLC</t>
  </si>
  <si>
    <t>10582</t>
  </si>
  <si>
    <t>202 E Southern Avenue</t>
  </si>
  <si>
    <t>85210-5358</t>
  </si>
  <si>
    <t>008039856</t>
  </si>
  <si>
    <t>YS29MY3ZB421</t>
  </si>
  <si>
    <t>80995</t>
  </si>
  <si>
    <t>10496</t>
  </si>
  <si>
    <t>AMERICAN CHARTER SCHOOLS FOUNDATION</t>
  </si>
  <si>
    <t>5040 S. Campbell Ave</t>
  </si>
  <si>
    <t>857061510</t>
  </si>
  <si>
    <t>135120645</t>
  </si>
  <si>
    <t>JHK3G79PAFL8</t>
  </si>
  <si>
    <t>79883</t>
  </si>
  <si>
    <t>10431</t>
  </si>
  <si>
    <t>945 W. Apache Trail</t>
  </si>
  <si>
    <t>851205409</t>
  </si>
  <si>
    <t>780192279</t>
  </si>
  <si>
    <t>DDK8RXXX41W7</t>
  </si>
  <si>
    <t>79874</t>
  </si>
  <si>
    <t>10436</t>
  </si>
  <si>
    <t>American Charter Schools Foundation d.b.a. Crestview College Preparatory High School</t>
  </si>
  <si>
    <t>2616 E. Green way Rd</t>
  </si>
  <si>
    <t>85032-4320</t>
  </si>
  <si>
    <t>112618785</t>
  </si>
  <si>
    <t>ZJH6PVJNZA94</t>
  </si>
  <si>
    <t>79872</t>
  </si>
  <si>
    <t>10433</t>
  </si>
  <si>
    <t>1515 South Val Vista Drive</t>
  </si>
  <si>
    <t>Gilbert</t>
  </si>
  <si>
    <t>85296-3854</t>
  </si>
  <si>
    <t>014393438</t>
  </si>
  <si>
    <t>HFF5MCPA45M4</t>
  </si>
  <si>
    <t>79873</t>
  </si>
  <si>
    <t>10434</t>
  </si>
  <si>
    <t>510 N. Central Ave</t>
  </si>
  <si>
    <t>853231909</t>
  </si>
  <si>
    <t>112618280</t>
  </si>
  <si>
    <t>LVFTXW9KNKS3</t>
  </si>
  <si>
    <t>79875</t>
  </si>
  <si>
    <t>10437</t>
  </si>
  <si>
    <t>8885 W Peoria AVE</t>
  </si>
  <si>
    <t>853456442</t>
  </si>
  <si>
    <t>188620681</t>
  </si>
  <si>
    <t>M3N5YLH34YQ8</t>
  </si>
  <si>
    <t>80989</t>
  </si>
  <si>
    <t>10497</t>
  </si>
  <si>
    <t>8325 S Central AVE</t>
  </si>
  <si>
    <t>850426576</t>
  </si>
  <si>
    <t>794554506</t>
  </si>
  <si>
    <t>JWWUBSJ1A9H3</t>
  </si>
  <si>
    <t>88334</t>
  </si>
  <si>
    <t>10372</t>
  </si>
  <si>
    <t>1122 S. 67th Ave</t>
  </si>
  <si>
    <t>850434417</t>
  </si>
  <si>
    <t>788869274</t>
  </si>
  <si>
    <t>NBVLX5VF26B9</t>
  </si>
  <si>
    <t>79877</t>
  </si>
  <si>
    <t>10442</t>
  </si>
  <si>
    <t>American Charter Schools Foundation</t>
  </si>
  <si>
    <t>1143 S Lindsay Rd</t>
  </si>
  <si>
    <t>852046298</t>
  </si>
  <si>
    <t>112707026</t>
  </si>
  <si>
    <t>YSG9RKWLW1L9</t>
  </si>
  <si>
    <t>79879</t>
  </si>
  <si>
    <t>10441</t>
  </si>
  <si>
    <t>3835 W. Thomas Rd</t>
  </si>
  <si>
    <t>850194434</t>
  </si>
  <si>
    <t>112708156</t>
  </si>
  <si>
    <t>HYC1LJGQW311</t>
  </si>
  <si>
    <t>1001346</t>
  </si>
  <si>
    <t>10802</t>
  </si>
  <si>
    <t>1645 W Skyline DR</t>
  </si>
  <si>
    <t>San Tan Valley</t>
  </si>
  <si>
    <t>851421561</t>
  </si>
  <si>
    <t>080851002</t>
  </si>
  <si>
    <t>G8ANQPZGLNN3</t>
  </si>
  <si>
    <t>073406000</t>
  </si>
  <si>
    <t>80481</t>
  </si>
  <si>
    <t>American Educational Systems, Inc</t>
  </si>
  <si>
    <t>10787</t>
  </si>
  <si>
    <t>Early Explorers LLC</t>
  </si>
  <si>
    <t>3131 E AIRE LIBRE AVE</t>
  </si>
  <si>
    <t>850323032</t>
  </si>
  <si>
    <t>092001000</t>
  </si>
  <si>
    <t>9655</t>
  </si>
  <si>
    <t>American Indian Christian Mission</t>
  </si>
  <si>
    <t>14297</t>
  </si>
  <si>
    <t>924 Mission Lane Lot 1</t>
  </si>
  <si>
    <t>Show Low</t>
  </si>
  <si>
    <t>859014097</t>
  </si>
  <si>
    <t>967807116</t>
  </si>
  <si>
    <t>H3V4Q36ZE4W8</t>
  </si>
  <si>
    <t>108736000</t>
  </si>
  <si>
    <t>91284</t>
  </si>
  <si>
    <t>American Indian Model Schools dba Tucson AIM Middle School</t>
  </si>
  <si>
    <t>10575</t>
  </si>
  <si>
    <t>078270474</t>
  </si>
  <si>
    <t>049499000</t>
  </si>
  <si>
    <t>92990</t>
  </si>
  <si>
    <t>American Leadership Academy</t>
  </si>
  <si>
    <t>079487000</t>
  </si>
  <si>
    <t>93001</t>
  </si>
  <si>
    <t>American Leadership Academy Ironwood</t>
  </si>
  <si>
    <t>4348</t>
  </si>
  <si>
    <t>10319</t>
  </si>
  <si>
    <t>6913 E. Rembrandt Ave.</t>
  </si>
  <si>
    <t>85212-3641</t>
  </si>
  <si>
    <t>068914546</t>
  </si>
  <si>
    <t>YW9UY8AUXQE6</t>
  </si>
  <si>
    <t>078926000</t>
  </si>
  <si>
    <t>79461</t>
  </si>
  <si>
    <t>American Virtual Academy</t>
  </si>
  <si>
    <t>10472</t>
  </si>
  <si>
    <t>The American Virtual Academy, Inc.</t>
  </si>
  <si>
    <t>2471 N Arizona AVE STE 1</t>
  </si>
  <si>
    <t>Chandler</t>
  </si>
  <si>
    <t>85225-1394</t>
  </si>
  <si>
    <t>098765816</t>
  </si>
  <si>
    <t>4406</t>
  </si>
  <si>
    <t>11423</t>
  </si>
  <si>
    <t>PIMA COUNTY AMPHITHEATHER SCHOOLS</t>
  </si>
  <si>
    <t>701 W WETMORE RD</t>
  </si>
  <si>
    <t>857051547</t>
  </si>
  <si>
    <t>074470964</t>
  </si>
  <si>
    <t>JFQYRDQLNSK1</t>
  </si>
  <si>
    <t>138770000</t>
  </si>
  <si>
    <t>Ann Clare Learning Academy Inc.</t>
  </si>
  <si>
    <t>4506</t>
  </si>
  <si>
    <t>11563</t>
  </si>
  <si>
    <t>Antelope Union High School District 50</t>
  </si>
  <si>
    <t>9168 S AVENUE 36 E</t>
  </si>
  <si>
    <t>Wellton</t>
  </si>
  <si>
    <t>853567121</t>
  </si>
  <si>
    <t>002903375</t>
  </si>
  <si>
    <t>EMC9NC16HDD4</t>
  </si>
  <si>
    <t>90532</t>
  </si>
  <si>
    <t>10544</t>
  </si>
  <si>
    <t>3950 W Arroyo Norte Dr</t>
  </si>
  <si>
    <t>85087-6226</t>
  </si>
  <si>
    <t>840539659</t>
  </si>
  <si>
    <t>GQKDHV2B6NA3</t>
  </si>
  <si>
    <t>019999001</t>
  </si>
  <si>
    <t>6602</t>
  </si>
  <si>
    <t>Apache County School Superintendent</t>
  </si>
  <si>
    <t>13117</t>
  </si>
  <si>
    <t>County of Apache</t>
  </si>
  <si>
    <t>75 North 1st West</t>
  </si>
  <si>
    <t>Saint Johns</t>
  </si>
  <si>
    <t>859360518</t>
  </si>
  <si>
    <t>794542998</t>
  </si>
  <si>
    <t>79547</t>
  </si>
  <si>
    <t>10782</t>
  </si>
  <si>
    <t>75 N 1st W</t>
  </si>
  <si>
    <t>St. Johns</t>
  </si>
  <si>
    <t>Non Funded</t>
  </si>
  <si>
    <t>4178</t>
  </si>
  <si>
    <t>11127</t>
  </si>
  <si>
    <t>10488 N SKELETON CANYON RD</t>
  </si>
  <si>
    <t>Douglas</t>
  </si>
  <si>
    <t>85607</t>
  </si>
  <si>
    <t>002900454</t>
  </si>
  <si>
    <t>Y6RTLK3QWDR5</t>
  </si>
  <si>
    <t>4443</t>
  </si>
  <si>
    <t>11457</t>
  </si>
  <si>
    <t>Apache Junction Unified School District 43</t>
  </si>
  <si>
    <t>1575 W. Southern Ave</t>
  </si>
  <si>
    <t>85120-7456</t>
  </si>
  <si>
    <t>829670806</t>
  </si>
  <si>
    <t>S615LVJN2L33</t>
  </si>
  <si>
    <t>79426</t>
  </si>
  <si>
    <t>10460</t>
  </si>
  <si>
    <t>2701 S. Campbell Ave.</t>
  </si>
  <si>
    <t>85713-5080</t>
  </si>
  <si>
    <t>797598856</t>
  </si>
  <si>
    <t>HJXUUQW913T4</t>
  </si>
  <si>
    <t>92980</t>
  </si>
  <si>
    <t>10769</t>
  </si>
  <si>
    <t>1150 W Superstition Blvd</t>
  </si>
  <si>
    <t>851204043</t>
  </si>
  <si>
    <t>079267123</t>
  </si>
  <si>
    <t>C7J9H6RF76J3</t>
  </si>
  <si>
    <t>119498000</t>
  </si>
  <si>
    <t>92980CL</t>
  </si>
  <si>
    <t>719 E Denim Trail</t>
  </si>
  <si>
    <t>SAN TAN VALLEY</t>
  </si>
  <si>
    <t>851436131</t>
  </si>
  <si>
    <t>92312</t>
  </si>
  <si>
    <t>10617</t>
  </si>
  <si>
    <t>4525 East Baseline Road</t>
  </si>
  <si>
    <t>85234-2987</t>
  </si>
  <si>
    <t>079638681</t>
  </si>
  <si>
    <t>FLDAUGFLUAN9</t>
  </si>
  <si>
    <t>90917</t>
  </si>
  <si>
    <t>10620</t>
  </si>
  <si>
    <t>1951 North Alma School Road</t>
  </si>
  <si>
    <t>85224-2840</t>
  </si>
  <si>
    <t>966140605</t>
  </si>
  <si>
    <t>S6V2V5K6STN5</t>
  </si>
  <si>
    <t>92314</t>
  </si>
  <si>
    <t>10241</t>
  </si>
  <si>
    <t>7205 North Pima Road</t>
  </si>
  <si>
    <t>Scottsdale</t>
  </si>
  <si>
    <t>85258-4027</t>
  </si>
  <si>
    <t>079638689</t>
  </si>
  <si>
    <t>G3KGKB8NHKW5</t>
  </si>
  <si>
    <t>91878</t>
  </si>
  <si>
    <t>10251</t>
  </si>
  <si>
    <t>23276 North 83rd Ave</t>
  </si>
  <si>
    <t>85383-1621</t>
  </si>
  <si>
    <t>078684357</t>
  </si>
  <si>
    <t>E693MAJ28JV4</t>
  </si>
  <si>
    <t>92656</t>
  </si>
  <si>
    <t>10625</t>
  </si>
  <si>
    <t>2250 South Gilbert Road</t>
  </si>
  <si>
    <t>85286-1588</t>
  </si>
  <si>
    <t>079831423</t>
  </si>
  <si>
    <t>C17FH53FMMY8</t>
  </si>
  <si>
    <t>91758</t>
  </si>
  <si>
    <t>10142</t>
  </si>
  <si>
    <t>14100 North 32nd Street</t>
  </si>
  <si>
    <t>85032-5028</t>
  </si>
  <si>
    <t>019027020</t>
  </si>
  <si>
    <t>WUHDK87BNWJ4</t>
  </si>
  <si>
    <t>90857</t>
  </si>
  <si>
    <t>10547</t>
  </si>
  <si>
    <t>16648 North 94th Street</t>
  </si>
  <si>
    <t>85260-1537</t>
  </si>
  <si>
    <t>966140241</t>
  </si>
  <si>
    <t>GFJABTFHG8Q8</t>
  </si>
  <si>
    <t>1001937</t>
  </si>
  <si>
    <t>10861</t>
  </si>
  <si>
    <t>4801 East Washington Street</t>
  </si>
  <si>
    <t>85034-2025</t>
  </si>
  <si>
    <t>G7VKT6GD8PF8</t>
  </si>
  <si>
    <t>90915</t>
  </si>
  <si>
    <t>10619</t>
  </si>
  <si>
    <t>2001 North Bullard Avenue</t>
  </si>
  <si>
    <t>Goodyear</t>
  </si>
  <si>
    <t>85395-3372</t>
  </si>
  <si>
    <t>966140324</t>
  </si>
  <si>
    <t>90916</t>
  </si>
  <si>
    <t>10139</t>
  </si>
  <si>
    <t>3102 North 56th Street</t>
  </si>
  <si>
    <t>85018-6606</t>
  </si>
  <si>
    <t>966140431</t>
  </si>
  <si>
    <t>C9MJCQ1MZU29</t>
  </si>
  <si>
    <t>142210000</t>
  </si>
  <si>
    <t>92801</t>
  </si>
  <si>
    <t>Arcoiris Child Care</t>
  </si>
  <si>
    <t>15775</t>
  </si>
  <si>
    <t>Maria Valenzuela</t>
  </si>
  <si>
    <t>1944 E San Francisco St</t>
  </si>
  <si>
    <t>San Luis</t>
  </si>
  <si>
    <t>853360840</t>
  </si>
  <si>
    <t>557305955</t>
  </si>
  <si>
    <t>89486</t>
  </si>
  <si>
    <t>10465</t>
  </si>
  <si>
    <t>ARIZONA</t>
  </si>
  <si>
    <t>85234-2986</t>
  </si>
  <si>
    <t>784182094</t>
  </si>
  <si>
    <t>LYM3LMDX19F7</t>
  </si>
  <si>
    <t>108733000</t>
  </si>
  <si>
    <t>89482</t>
  </si>
  <si>
    <t>Arizona Academy of Leadership, Inc.</t>
  </si>
  <si>
    <t>782245745</t>
  </si>
  <si>
    <t>078665000</t>
  </si>
  <si>
    <t>6378</t>
  </si>
  <si>
    <t>Arizona Academy of Science And Technology, Inc.</t>
  </si>
  <si>
    <t>10218</t>
  </si>
  <si>
    <t>Arizona Academy of Science and Technology</t>
  </si>
  <si>
    <t>2920 North 7th Street</t>
  </si>
  <si>
    <t>850145401</t>
  </si>
  <si>
    <t>039414052</t>
  </si>
  <si>
    <t>134379</t>
  </si>
  <si>
    <t>10670</t>
  </si>
  <si>
    <t>Arizona Agribusiness &amp; Equine Center, INC.</t>
  </si>
  <si>
    <t>315 E Mulberry Drive</t>
  </si>
  <si>
    <t>85012-2307</t>
  </si>
  <si>
    <t>003790693</t>
  </si>
  <si>
    <t>RG6JEQ7G6RZ8</t>
  </si>
  <si>
    <t>078510000</t>
  </si>
  <si>
    <t>87403</t>
  </si>
  <si>
    <t>10527</t>
  </si>
  <si>
    <t>315 E. Mulberry Dr.</t>
  </si>
  <si>
    <t>850122307</t>
  </si>
  <si>
    <t>90779</t>
  </si>
  <si>
    <t>10628</t>
  </si>
  <si>
    <t>4331</t>
  </si>
  <si>
    <t>10108</t>
  </si>
  <si>
    <t>85816</t>
  </si>
  <si>
    <t>10520</t>
  </si>
  <si>
    <t>91131</t>
  </si>
  <si>
    <t>10195</t>
  </si>
  <si>
    <t>138502000</t>
  </si>
  <si>
    <t>90868</t>
  </si>
  <si>
    <t>Arizona Agribusiness and Equine Center, Inc.</t>
  </si>
  <si>
    <t>10552</t>
  </si>
  <si>
    <t>91958</t>
  </si>
  <si>
    <t>10523</t>
  </si>
  <si>
    <t>4125 N 14th ST.</t>
  </si>
  <si>
    <t>850144941</t>
  </si>
  <si>
    <t>078800019</t>
  </si>
  <si>
    <t>KYEREMYKVBV1</t>
  </si>
  <si>
    <t>079492000</t>
  </si>
  <si>
    <t>16174 W. Glenrosa Ave</t>
  </si>
  <si>
    <t>GOODYEAR</t>
  </si>
  <si>
    <t>853957769</t>
  </si>
  <si>
    <t>075299001</t>
  </si>
  <si>
    <t>85228</t>
  </si>
  <si>
    <t>Arizona Board of Regents - Central Office</t>
  </si>
  <si>
    <t>17181</t>
  </si>
  <si>
    <t>2020 N CENTRAL AVE STE 230</t>
  </si>
  <si>
    <t>850044593</t>
  </si>
  <si>
    <t>806343562</t>
  </si>
  <si>
    <t>075201000</t>
  </si>
  <si>
    <t>87291</t>
  </si>
  <si>
    <t>Arizona Board of Regents for Arizona School Services through Educational Technol</t>
  </si>
  <si>
    <t>16151</t>
  </si>
  <si>
    <t>075299000</t>
  </si>
  <si>
    <t>79146</t>
  </si>
  <si>
    <t>Arizona Board of Regents for/on behalf of ASU</t>
  </si>
  <si>
    <t>16101</t>
  </si>
  <si>
    <t>Arizona State University DBA ORSPA</t>
  </si>
  <si>
    <t>660 S Mill Ave Ste 312</t>
  </si>
  <si>
    <t>Tempe</t>
  </si>
  <si>
    <t>852813670</t>
  </si>
  <si>
    <t>943360412</t>
  </si>
  <si>
    <t>NTLHJXM55KZ6</t>
  </si>
  <si>
    <t>105299001</t>
  </si>
  <si>
    <t>79201</t>
  </si>
  <si>
    <t>Arizona Board of Regents on Behalf of U of A</t>
  </si>
  <si>
    <t>16121</t>
  </si>
  <si>
    <t>University of Arizona</t>
  </si>
  <si>
    <t>888 N Euclid AVE RM 510</t>
  </si>
  <si>
    <t>857194824</t>
  </si>
  <si>
    <t>806345617</t>
  </si>
  <si>
    <t>ED44Y3W6P7B9</t>
  </si>
  <si>
    <t>4346</t>
  </si>
  <si>
    <t>10106</t>
  </si>
  <si>
    <t>Arizona Call-A-Teen Youth Resources, Inc.</t>
  </si>
  <si>
    <t>649 N 6th Ave</t>
  </si>
  <si>
    <t>850031659</t>
  </si>
  <si>
    <t>148859523</t>
  </si>
  <si>
    <t>H52XHJVLB193</t>
  </si>
  <si>
    <t>078932000</t>
  </si>
  <si>
    <t>Arizona Career Academy</t>
  </si>
  <si>
    <t>071617000</t>
  </si>
  <si>
    <t>91848</t>
  </si>
  <si>
    <t>Arizona Charter Schools Association</t>
  </si>
  <si>
    <t>968693168</t>
  </si>
  <si>
    <t>1002079</t>
  </si>
  <si>
    <t>10867</t>
  </si>
  <si>
    <t>433 N HALL</t>
  </si>
  <si>
    <t>MESA</t>
  </si>
  <si>
    <t>852037407</t>
  </si>
  <si>
    <t>79947</t>
  </si>
  <si>
    <t>10411</t>
  </si>
  <si>
    <t>ARIZONA COMMUNITY DEVELOPMENT</t>
  </si>
  <si>
    <t>2050 N. Wilmot</t>
  </si>
  <si>
    <t>85712-3018</t>
  </si>
  <si>
    <t>130608990</t>
  </si>
  <si>
    <t>C439P7N3NLH4</t>
  </si>
  <si>
    <t>87407</t>
  </si>
  <si>
    <t>10455</t>
  </si>
  <si>
    <t>ARIZONA CONNECTIONS ACADEMY CHARTER SCHOOL</t>
  </si>
  <si>
    <t>335 E Germann Rd, Ste 140</t>
  </si>
  <si>
    <t>852972920</t>
  </si>
  <si>
    <t>618282714</t>
  </si>
  <si>
    <t>PJ8BGN3SWZX5</t>
  </si>
  <si>
    <t>072006000</t>
  </si>
  <si>
    <t>79812</t>
  </si>
  <si>
    <t>Arizona Cultural Academy</t>
  </si>
  <si>
    <t>077602000</t>
  </si>
  <si>
    <t>90122</t>
  </si>
  <si>
    <t>Arizona Department Of Commerce</t>
  </si>
  <si>
    <t>17111</t>
  </si>
  <si>
    <t>8336</t>
  </si>
  <si>
    <t>17191</t>
  </si>
  <si>
    <t>State Of Arizona-Dept Of Arizona Depart Of Corrections</t>
  </si>
  <si>
    <t>701 E Jefferson St</t>
  </si>
  <si>
    <t>850342215</t>
  </si>
  <si>
    <t>804546273</t>
  </si>
  <si>
    <t>WZBTSTM7NG64</t>
  </si>
  <si>
    <t>79275</t>
  </si>
  <si>
    <t>1535 WEST JEFFERSON ST., BIN 2</t>
  </si>
  <si>
    <t>850073209</t>
  </si>
  <si>
    <t>804746097</t>
  </si>
  <si>
    <t>217601000</t>
  </si>
  <si>
    <t>10925</t>
  </si>
  <si>
    <t>Arizona Department of Juvenile Corrections</t>
  </si>
  <si>
    <t>90758</t>
  </si>
  <si>
    <t>10413</t>
  </si>
  <si>
    <t>2500 S Power Rd Ste 215</t>
  </si>
  <si>
    <t>852096690</t>
  </si>
  <si>
    <t>117004640</t>
  </si>
  <si>
    <t>YCH3YXL4TXY7</t>
  </si>
  <si>
    <t>071601000</t>
  </si>
  <si>
    <t>79291</t>
  </si>
  <si>
    <t>Arizona Foundation for Legal Services &amp; Education</t>
  </si>
  <si>
    <t>14349</t>
  </si>
  <si>
    <t>4201 N 24TH ST STE 210</t>
  </si>
  <si>
    <t>850166295</t>
  </si>
  <si>
    <t>No Federal Funding</t>
  </si>
  <si>
    <t>1001949</t>
  </si>
  <si>
    <t>072690000</t>
  </si>
  <si>
    <t>90549</t>
  </si>
  <si>
    <t>Arizona Head Start Association</t>
  </si>
  <si>
    <t>11359</t>
  </si>
  <si>
    <t>Arizona Head Start Association Inc</t>
  </si>
  <si>
    <t>340 E Palm LN STE 315</t>
  </si>
  <si>
    <t>850044604</t>
  </si>
  <si>
    <t>2056617</t>
  </si>
  <si>
    <t>TL3ZL3LSHJK</t>
  </si>
  <si>
    <t>92566</t>
  </si>
  <si>
    <t>10772</t>
  </si>
  <si>
    <t>4645 E Marilyn Rd.</t>
  </si>
  <si>
    <t>850324839</t>
  </si>
  <si>
    <t>969508915</t>
  </si>
  <si>
    <t>MXLBDCMLRLT7</t>
  </si>
  <si>
    <t>395879</t>
  </si>
  <si>
    <t>10757</t>
  </si>
  <si>
    <t>2031 N Arizona Ave Ste 2</t>
  </si>
  <si>
    <t>852251061</t>
  </si>
  <si>
    <t>053520699</t>
  </si>
  <si>
    <t>LR2NFC4ENQF6</t>
  </si>
  <si>
    <t>078503000</t>
  </si>
  <si>
    <t>Arizona Montessori Charter School-Gilbert</t>
  </si>
  <si>
    <t>078706000</t>
  </si>
  <si>
    <t>Arizona Montessori Charter Schools</t>
  </si>
  <si>
    <t>014005000</t>
  </si>
  <si>
    <t>80077</t>
  </si>
  <si>
    <t>Arizona Navajo Central Education Line Office</t>
  </si>
  <si>
    <t>093906000</t>
  </si>
  <si>
    <t>79844</t>
  </si>
  <si>
    <t>Arizona North Hopi Education Line Office</t>
  </si>
  <si>
    <t>14435</t>
  </si>
  <si>
    <t>071003000</t>
  </si>
  <si>
    <t>Arizona Project Challenge</t>
  </si>
  <si>
    <t>14455</t>
  </si>
  <si>
    <t>078922000</t>
  </si>
  <si>
    <t>79449</t>
  </si>
  <si>
    <t>Arizona School for Integrated Academics and Technologies, Inc.</t>
  </si>
  <si>
    <t>10468</t>
  </si>
  <si>
    <t>088492843</t>
  </si>
  <si>
    <t>4345</t>
  </si>
  <si>
    <t>10115</t>
  </si>
  <si>
    <t>Arizona School For the Arts</t>
  </si>
  <si>
    <t>1410 N 3rd Street</t>
  </si>
  <si>
    <t>85004-1608</t>
  </si>
  <si>
    <t>179291257</t>
  </si>
  <si>
    <t>FQ22B4EAL8F3</t>
  </si>
  <si>
    <t>080208820</t>
  </si>
  <si>
    <t>79076</t>
  </si>
  <si>
    <t>Arizona Southwest Preparatory Academy, Inc.</t>
  </si>
  <si>
    <t>001219000</t>
  </si>
  <si>
    <t>6415</t>
  </si>
  <si>
    <t>ARIZONA STATE HOSPITAL</t>
  </si>
  <si>
    <t>14105</t>
  </si>
  <si>
    <t>Health Services Department</t>
  </si>
  <si>
    <t>150 N 18th Ave</t>
  </si>
  <si>
    <t>850073232</t>
  </si>
  <si>
    <t>6393</t>
  </si>
  <si>
    <t>17231</t>
  </si>
  <si>
    <t>ARIZONA DEPT. OF EDUCATION dba Arizona State School For The Deaf &amp; The Blind</t>
  </si>
  <si>
    <t>1200 W Speedway Blvd</t>
  </si>
  <si>
    <t>85745-2326</t>
  </si>
  <si>
    <t>806758215</t>
  </si>
  <si>
    <t>WKRWG1FNUN75</t>
  </si>
  <si>
    <t>074499000</t>
  </si>
  <si>
    <t>9576</t>
  </si>
  <si>
    <t>Arizona Supreme Court</t>
  </si>
  <si>
    <t>074499001</t>
  </si>
  <si>
    <t>9577</t>
  </si>
  <si>
    <t>17161</t>
  </si>
  <si>
    <t>1501 W WASHINGTON</t>
  </si>
  <si>
    <t>850073222</t>
  </si>
  <si>
    <t>360705321</t>
  </si>
  <si>
    <t>138713000</t>
  </si>
  <si>
    <t>Arizona UpGrade Academy  Inc.</t>
  </si>
  <si>
    <t>140601000</t>
  </si>
  <si>
    <t>8224</t>
  </si>
  <si>
    <t>Arizona Western College</t>
  </si>
  <si>
    <t>12101</t>
  </si>
  <si>
    <t>Yuma/La Paz Counties Community College District</t>
  </si>
  <si>
    <t>2020 S. Avenue 8E</t>
  </si>
  <si>
    <t>853656900</t>
  </si>
  <si>
    <t>072438799</t>
  </si>
  <si>
    <t>V6GLTVM5KSA5</t>
  </si>
  <si>
    <t>4274</t>
  </si>
  <si>
    <t>11247</t>
  </si>
  <si>
    <t>ARLINGTON SCHOOL DISTRICT 47</t>
  </si>
  <si>
    <t>9410 S. 355th Ave.</t>
  </si>
  <si>
    <t>Arlington</t>
  </si>
  <si>
    <t>853228134</t>
  </si>
  <si>
    <t>002901429</t>
  </si>
  <si>
    <t>QA78CNCFGMM1</t>
  </si>
  <si>
    <t>080208855</t>
  </si>
  <si>
    <t>Arrowhead West Corp.</t>
  </si>
  <si>
    <t>078961000</t>
  </si>
  <si>
    <t>Ascending Roots Scholastic &amp; Athletic Premise  Inc.</t>
  </si>
  <si>
    <t>4187</t>
  </si>
  <si>
    <t>11131</t>
  </si>
  <si>
    <t>Ash Creek Elem School Dist 53</t>
  </si>
  <si>
    <t>6460 E HWY 181</t>
  </si>
  <si>
    <t>Pearce</t>
  </si>
  <si>
    <t>856256103</t>
  </si>
  <si>
    <t>556856524</t>
  </si>
  <si>
    <t>K4DAG2CC85J6</t>
  </si>
  <si>
    <t>4471</t>
  </si>
  <si>
    <t>11509</t>
  </si>
  <si>
    <t>Ash Fork School District 31</t>
  </si>
  <si>
    <t>46999 N 5th St</t>
  </si>
  <si>
    <t>Ash Fork</t>
  </si>
  <si>
    <t>863200247</t>
  </si>
  <si>
    <t>184259349</t>
  </si>
  <si>
    <t>U129YMJMGZY6</t>
  </si>
  <si>
    <t>91307</t>
  </si>
  <si>
    <t>10203</t>
  </si>
  <si>
    <t>300 E. University Drive</t>
  </si>
  <si>
    <t>85281-2061</t>
  </si>
  <si>
    <t>827127601</t>
  </si>
  <si>
    <t>QBFJRMDBZRE3</t>
  </si>
  <si>
    <t>91303</t>
  </si>
  <si>
    <t>10110</t>
  </si>
  <si>
    <t>91305</t>
  </si>
  <si>
    <t>10201</t>
  </si>
  <si>
    <t>300 E UNIVERSITY DR # 210</t>
  </si>
  <si>
    <t>852812061</t>
  </si>
  <si>
    <t>92325</t>
  </si>
  <si>
    <t>10605</t>
  </si>
  <si>
    <t>92327</t>
  </si>
  <si>
    <t>10602</t>
  </si>
  <si>
    <t>92716</t>
  </si>
  <si>
    <t>10297</t>
  </si>
  <si>
    <t>346763</t>
  </si>
  <si>
    <t>10646</t>
  </si>
  <si>
    <t>078287000</t>
  </si>
  <si>
    <t>59441</t>
  </si>
  <si>
    <t>300 E University Dr</t>
  </si>
  <si>
    <t>89949</t>
  </si>
  <si>
    <t>10112</t>
  </si>
  <si>
    <t>300 E University DR #210</t>
  </si>
  <si>
    <t>90273</t>
  </si>
  <si>
    <t>10161</t>
  </si>
  <si>
    <t>92987</t>
  </si>
  <si>
    <t>10658</t>
  </si>
  <si>
    <t>078285000</t>
  </si>
  <si>
    <t>631426</t>
  </si>
  <si>
    <t>ASU Preparatory Academy Compadre</t>
  </si>
  <si>
    <t>10680</t>
  </si>
  <si>
    <t>522074</t>
  </si>
  <si>
    <t>10679</t>
  </si>
  <si>
    <t>073412000</t>
  </si>
  <si>
    <t>9553</t>
  </si>
  <si>
    <t>Avalon Investment Group, Inc.</t>
  </si>
  <si>
    <t>4272</t>
  </si>
  <si>
    <t>11249</t>
  </si>
  <si>
    <t>AVONDALE SCHOOL DISTRICT 44</t>
  </si>
  <si>
    <t>235 W Western Ave</t>
  </si>
  <si>
    <t>853231848</t>
  </si>
  <si>
    <t>100001098</t>
  </si>
  <si>
    <t>CL6YDU7H4CA6</t>
  </si>
  <si>
    <t>79929</t>
  </si>
  <si>
    <t>10408</t>
  </si>
  <si>
    <t>7318 W. Lynwood St.</t>
  </si>
  <si>
    <t>85035-4542</t>
  </si>
  <si>
    <t>101787245</t>
  </si>
  <si>
    <t>KY7XPUBGJBT4</t>
  </si>
  <si>
    <t>035299001</t>
  </si>
  <si>
    <t>8580</t>
  </si>
  <si>
    <t>Az Bd Regents - NAU</t>
  </si>
  <si>
    <t>601 S KNOLES DR RM 200</t>
  </si>
  <si>
    <t>FLAGSTAFF</t>
  </si>
  <si>
    <t>860117034</t>
  </si>
  <si>
    <t>806345542</t>
  </si>
  <si>
    <t>001003000</t>
  </si>
  <si>
    <t>AZ CNTR FOR WOMEN</t>
  </si>
  <si>
    <t>89869</t>
  </si>
  <si>
    <t>10389</t>
  </si>
  <si>
    <t>2020 N Arizona Ave Ste G-62</t>
  </si>
  <si>
    <t>852253496</t>
  </si>
  <si>
    <t>803401202</t>
  </si>
  <si>
    <t>PVCMZGBQN9B3</t>
  </si>
  <si>
    <t>8326</t>
  </si>
  <si>
    <t>17131</t>
  </si>
  <si>
    <t>Juvenile Corrections Arizona Department</t>
  </si>
  <si>
    <t>100 N 15th Ave Suite 103</t>
  </si>
  <si>
    <t>850072624</t>
  </si>
  <si>
    <t>804746279</t>
  </si>
  <si>
    <t>XVMBHKMJ6AU7</t>
  </si>
  <si>
    <t>148757000</t>
  </si>
  <si>
    <t>4508</t>
  </si>
  <si>
    <t>Az-Tec High School</t>
  </si>
  <si>
    <t>10208</t>
  </si>
  <si>
    <t>Yuma, County of</t>
  </si>
  <si>
    <t>198 S Main Street</t>
  </si>
  <si>
    <t>853641424</t>
  </si>
  <si>
    <t>074463811</t>
  </si>
  <si>
    <t>ELEWY4GC2FL9</t>
  </si>
  <si>
    <t>108791000</t>
  </si>
  <si>
    <t>Aztlan Academy Inc.</t>
  </si>
  <si>
    <t>4412</t>
  </si>
  <si>
    <t>11431</t>
  </si>
  <si>
    <t>BABOQUIVARI UNIFIED SCHOOL DISTRICT #40</t>
  </si>
  <si>
    <t>111 Main ST</t>
  </si>
  <si>
    <t>Sells</t>
  </si>
  <si>
    <t>85634-0029</t>
  </si>
  <si>
    <t>072439045</t>
  </si>
  <si>
    <t>UU16Z4WXLGJ6</t>
  </si>
  <si>
    <t>072785000</t>
  </si>
  <si>
    <t>90039</t>
  </si>
  <si>
    <t>Back To Life, Inc.</t>
  </si>
  <si>
    <t>078731000</t>
  </si>
  <si>
    <t>81022</t>
  </si>
  <si>
    <t>Back-to-Basics School</t>
  </si>
  <si>
    <t>10494</t>
  </si>
  <si>
    <t>4468</t>
  </si>
  <si>
    <t>11511</t>
  </si>
  <si>
    <t>Bagdad Unified School District 20</t>
  </si>
  <si>
    <t>500 Sultan Way</t>
  </si>
  <si>
    <t>Bagdad</t>
  </si>
  <si>
    <t>863210427</t>
  </si>
  <si>
    <t>100001106</t>
  </si>
  <si>
    <t>WMJKDHNFZNM8</t>
  </si>
  <si>
    <t>79204</t>
  </si>
  <si>
    <t>10132</t>
  </si>
  <si>
    <t>Dobson Academy A Ball Charter School</t>
  </si>
  <si>
    <t>2207 North Dobson Rd.</t>
  </si>
  <si>
    <t>85224-2282</t>
  </si>
  <si>
    <t>940014384</t>
  </si>
  <si>
    <t>HC9VLXJ9KJC4</t>
  </si>
  <si>
    <t>4294</t>
  </si>
  <si>
    <t>10197</t>
  </si>
  <si>
    <t>17606 N 7th Avenue</t>
  </si>
  <si>
    <t>850231567</t>
  </si>
  <si>
    <t>023925788</t>
  </si>
  <si>
    <t>K5AMHPCCSZ26</t>
  </si>
  <si>
    <t>90885</t>
  </si>
  <si>
    <t>10551</t>
  </si>
  <si>
    <t>Ball Charter Schools</t>
  </si>
  <si>
    <t>4150 S Val Vista Drive</t>
  </si>
  <si>
    <t>852974607</t>
  </si>
  <si>
    <t>969104681</t>
  </si>
  <si>
    <t>LCT2CK7GBJ33</t>
  </si>
  <si>
    <t>4268</t>
  </si>
  <si>
    <t>11251</t>
  </si>
  <si>
    <t>Balsz School District</t>
  </si>
  <si>
    <t>4825 E Roosevelt St</t>
  </si>
  <si>
    <t>850085917</t>
  </si>
  <si>
    <t>098048663</t>
  </si>
  <si>
    <t>NZFXT3N1YH22</t>
  </si>
  <si>
    <t>90862</t>
  </si>
  <si>
    <t>10568</t>
  </si>
  <si>
    <t>BASIS CHARTER SCHOOLS, INC.</t>
  </si>
  <si>
    <t>7975 N Hayden RD. STE C240</t>
  </si>
  <si>
    <t>85258-3233</t>
  </si>
  <si>
    <t>832360965</t>
  </si>
  <si>
    <t>GX9HBMXHK9W8</t>
  </si>
  <si>
    <t>91339</t>
  </si>
  <si>
    <t>10589</t>
  </si>
  <si>
    <t>91949</t>
  </si>
  <si>
    <t>10509</t>
  </si>
  <si>
    <t>92349</t>
  </si>
  <si>
    <t>10604</t>
  </si>
  <si>
    <t>92997</t>
  </si>
  <si>
    <t>10690</t>
  </si>
  <si>
    <t>92736</t>
  </si>
  <si>
    <t>10633</t>
  </si>
  <si>
    <t>92734</t>
  </si>
  <si>
    <t>10634</t>
  </si>
  <si>
    <t>92863</t>
  </si>
  <si>
    <t>10635</t>
  </si>
  <si>
    <t>92865</t>
  </si>
  <si>
    <t>10630</t>
  </si>
  <si>
    <t>549803</t>
  </si>
  <si>
    <t>10665</t>
  </si>
  <si>
    <t>273398</t>
  </si>
  <si>
    <t>10672</t>
  </si>
  <si>
    <t>783027</t>
  </si>
  <si>
    <t>10742</t>
  </si>
  <si>
    <t>91280</t>
  </si>
  <si>
    <t>10580</t>
  </si>
  <si>
    <t>934316</t>
  </si>
  <si>
    <t>10743</t>
  </si>
  <si>
    <t>90508</t>
  </si>
  <si>
    <t>10560</t>
  </si>
  <si>
    <t>90841</t>
  </si>
  <si>
    <t>10569</t>
  </si>
  <si>
    <t>90842</t>
  </si>
  <si>
    <t>10570</t>
  </si>
  <si>
    <t>078633000</t>
  </si>
  <si>
    <t>1002012</t>
  </si>
  <si>
    <t>10842</t>
  </si>
  <si>
    <t>81078</t>
  </si>
  <si>
    <t>10512</t>
  </si>
  <si>
    <t>92318</t>
  </si>
  <si>
    <t>10601</t>
  </si>
  <si>
    <t>6361</t>
  </si>
  <si>
    <t>10215</t>
  </si>
  <si>
    <t>91309</t>
  </si>
  <si>
    <t>10584</t>
  </si>
  <si>
    <t>92320</t>
  </si>
  <si>
    <t>10606</t>
  </si>
  <si>
    <t>4481</t>
  </si>
  <si>
    <t>11513</t>
  </si>
  <si>
    <t>Beaver Creek Elementary School District 026</t>
  </si>
  <si>
    <t>4810 E Beaver Creek RD</t>
  </si>
  <si>
    <t>Rimrock</t>
  </si>
  <si>
    <t>863356241</t>
  </si>
  <si>
    <t>100642297</t>
  </si>
  <si>
    <t>UM19HURP9S87</t>
  </si>
  <si>
    <t>108728000</t>
  </si>
  <si>
    <t>Beginning Academy  Inc.</t>
  </si>
  <si>
    <t>79983</t>
  </si>
  <si>
    <t>10444</t>
  </si>
  <si>
    <t>Bell Canyon Charter School Inc</t>
  </si>
  <si>
    <t>18052 North Black Canyon Highway</t>
  </si>
  <si>
    <t>85053-1715</t>
  </si>
  <si>
    <t>096830364</t>
  </si>
  <si>
    <t>HPHBNU7LJFM9</t>
  </si>
  <si>
    <t>10972</t>
  </si>
  <si>
    <t>10337</t>
  </si>
  <si>
    <t>Benchmark School, Inc</t>
  </si>
  <si>
    <t>4120 E Acoma Drive</t>
  </si>
  <si>
    <t>850324753</t>
  </si>
  <si>
    <t>128508475</t>
  </si>
  <si>
    <t>JZCQH6JQCJB9</t>
  </si>
  <si>
    <t>4355</t>
  </si>
  <si>
    <t>10116</t>
  </si>
  <si>
    <t>Benjamin Franklin Charter School</t>
  </si>
  <si>
    <t>690 E Warner Rd, Suite 141</t>
  </si>
  <si>
    <t>852963058</t>
  </si>
  <si>
    <t>117344749</t>
  </si>
  <si>
    <t>MBJ1JFH9W4N9</t>
  </si>
  <si>
    <t>79226</t>
  </si>
  <si>
    <t>11133</t>
  </si>
  <si>
    <t>Benson Unified School District #9</t>
  </si>
  <si>
    <t>360 S Patagonia St</t>
  </si>
  <si>
    <t>Benson</t>
  </si>
  <si>
    <t>85602-6533</t>
  </si>
  <si>
    <t>002900488</t>
  </si>
  <si>
    <t>P3JEK2TYZNA3</t>
  </si>
  <si>
    <t>073500000</t>
  </si>
  <si>
    <t>1002097</t>
  </si>
  <si>
    <t>Beth El Congregation &amp; Hebrew School</t>
  </si>
  <si>
    <t>10853</t>
  </si>
  <si>
    <t>1118 W GLENDALE AVE</t>
  </si>
  <si>
    <t>850218635</t>
  </si>
  <si>
    <t>4515</t>
  </si>
  <si>
    <t>11229</t>
  </si>
  <si>
    <t>BICENTENNIAL UNION HIGH SCHOOL DISTRICT</t>
  </si>
  <si>
    <t>67488 E Salome Rd</t>
  </si>
  <si>
    <t>Salome</t>
  </si>
  <si>
    <t>853480519</t>
  </si>
  <si>
    <t>120179379</t>
  </si>
  <si>
    <t>JHJBUG95NZ36</t>
  </si>
  <si>
    <t>143026000</t>
  </si>
  <si>
    <t>90918</t>
  </si>
  <si>
    <t>Bienestar Child Development Center, LLC</t>
  </si>
  <si>
    <t>15135</t>
  </si>
  <si>
    <t>Bienestar Child Development Center</t>
  </si>
  <si>
    <t>1504 Liberty St</t>
  </si>
  <si>
    <t>85336</t>
  </si>
  <si>
    <t>614599046</t>
  </si>
  <si>
    <t>GMLCEJF9YNM5</t>
  </si>
  <si>
    <t>031602000</t>
  </si>
  <si>
    <t>87987</t>
  </si>
  <si>
    <t>Big Brothers Big Sisters of Flagstaff/Flagstaff Unified School District</t>
  </si>
  <si>
    <t>4169</t>
  </si>
  <si>
    <t>11135</t>
  </si>
  <si>
    <t>Bisbee Unified School District #2</t>
  </si>
  <si>
    <t>519 W Melody Ln</t>
  </si>
  <si>
    <t>Bisbee</t>
  </si>
  <si>
    <t>856033047</t>
  </si>
  <si>
    <t>056965072</t>
  </si>
  <si>
    <t>NBCLMCE4N4J7</t>
  </si>
  <si>
    <t>078727000</t>
  </si>
  <si>
    <t>Black Family &amp; Child Services Inc.</t>
  </si>
  <si>
    <t>093901000</t>
  </si>
  <si>
    <t>9688</t>
  </si>
  <si>
    <t>Black Mesa Community School</t>
  </si>
  <si>
    <t>114002000</t>
  </si>
  <si>
    <t>91760</t>
  </si>
  <si>
    <t>Blackwater Community School, Inc.</t>
  </si>
  <si>
    <t>3652 E Blackwater School Rd</t>
  </si>
  <si>
    <t>148987100</t>
  </si>
  <si>
    <t>89871</t>
  </si>
  <si>
    <t>10352</t>
  </si>
  <si>
    <t>6000 E. 14th ST.</t>
  </si>
  <si>
    <t>857114601</t>
  </si>
  <si>
    <t>802026109</t>
  </si>
  <si>
    <t>F12NZNQA18L7</t>
  </si>
  <si>
    <t>060322000</t>
  </si>
  <si>
    <t>4231</t>
  </si>
  <si>
    <t>Blue Elementary District</t>
  </si>
  <si>
    <t>10806</t>
  </si>
  <si>
    <t>GREENLEE COUNTY SCHOOL SUPERINTENDENT</t>
  </si>
  <si>
    <t>253 5th St</t>
  </si>
  <si>
    <t>Clifton</t>
  </si>
  <si>
    <t>855330000</t>
  </si>
  <si>
    <t>829952329</t>
  </si>
  <si>
    <t>VHA9EMBPEDJ7</t>
  </si>
  <si>
    <t>4397</t>
  </si>
  <si>
    <t>11387</t>
  </si>
  <si>
    <t>Blue Ridge School District</t>
  </si>
  <si>
    <t>1200 W White Mountain BLVD</t>
  </si>
  <si>
    <t>Lakeside</t>
  </si>
  <si>
    <t>85929-6532</t>
  </si>
  <si>
    <t>123639650</t>
  </si>
  <si>
    <t>YEKZAX5XCW35</t>
  </si>
  <si>
    <t>81041</t>
  </si>
  <si>
    <t>10505</t>
  </si>
  <si>
    <t>Blueprint Education Inc</t>
  </si>
  <si>
    <t>2225 W Whispering Wind Dr STE #205</t>
  </si>
  <si>
    <t>850851870</t>
  </si>
  <si>
    <t>025038316</t>
  </si>
  <si>
    <t>HDQRVUGMVPR9</t>
  </si>
  <si>
    <t>078581000</t>
  </si>
  <si>
    <t>90698</t>
  </si>
  <si>
    <t>BNE Ashur</t>
  </si>
  <si>
    <t>10364</t>
  </si>
  <si>
    <t>613282982</t>
  </si>
  <si>
    <t>4224</t>
  </si>
  <si>
    <t>11211</t>
  </si>
  <si>
    <t>Bonita Elementary School District</t>
  </si>
  <si>
    <t>18008 S Fort Grant Rd</t>
  </si>
  <si>
    <t>Willcox</t>
  </si>
  <si>
    <t>85643-7500</t>
  </si>
  <si>
    <t>100001130</t>
  </si>
  <si>
    <t>J996A1LHJ1F9</t>
  </si>
  <si>
    <t>072602000</t>
  </si>
  <si>
    <t>7418</t>
  </si>
  <si>
    <t>Booker T. Washington Child Development Center, Inc.</t>
  </si>
  <si>
    <t>14473</t>
  </si>
  <si>
    <t>1519 E ADAMS ST</t>
  </si>
  <si>
    <t>850341182</t>
  </si>
  <si>
    <t>104030010</t>
  </si>
  <si>
    <t>4513</t>
  </si>
  <si>
    <t>11231</t>
  </si>
  <si>
    <t>Bouse Elementary School District</t>
  </si>
  <si>
    <t>44936 JOSHUA RD</t>
  </si>
  <si>
    <t>BOUSE</t>
  </si>
  <si>
    <t>853250077</t>
  </si>
  <si>
    <t>183870120</t>
  </si>
  <si>
    <t>S8N8FF66SJL5</t>
  </si>
  <si>
    <t>4171</t>
  </si>
  <si>
    <t>11137</t>
  </si>
  <si>
    <t>315 W. 5th Street</t>
  </si>
  <si>
    <t>Bowie</t>
  </si>
  <si>
    <t>85605</t>
  </si>
  <si>
    <t>125698761</t>
  </si>
  <si>
    <t>MRLVMKXM3GJ3</t>
  </si>
  <si>
    <t>131602000</t>
  </si>
  <si>
    <t>80895</t>
  </si>
  <si>
    <t>Boy and Girls Club of Central Yavapai</t>
  </si>
  <si>
    <t>072401000</t>
  </si>
  <si>
    <t>8749</t>
  </si>
  <si>
    <t>Boys &amp; Girls Club of Metropolitan Phoenix</t>
  </si>
  <si>
    <t>4309 E BELLEVIEW ST # 14</t>
  </si>
  <si>
    <t>85008</t>
  </si>
  <si>
    <t>020115739</t>
  </si>
  <si>
    <t>131908000</t>
  </si>
  <si>
    <t>89835</t>
  </si>
  <si>
    <t>Boys &amp; Girls Clubs of Northern Arizona</t>
  </si>
  <si>
    <t>071603000</t>
  </si>
  <si>
    <t>80886</t>
  </si>
  <si>
    <t>Boys &amp; Girls Clubs of Scottsdale</t>
  </si>
  <si>
    <t>10515 E LAKEVIEW DR</t>
  </si>
  <si>
    <t>SCOTTSDALE</t>
  </si>
  <si>
    <t>852584965</t>
  </si>
  <si>
    <t>020143111</t>
  </si>
  <si>
    <t>081602000</t>
  </si>
  <si>
    <t>80897</t>
  </si>
  <si>
    <t>Boys &amp; Girls Clubs of the Colorado River</t>
  </si>
  <si>
    <t>Boys' and Girls' Club of the Colorado River, Inc.</t>
  </si>
  <si>
    <t>2250 Highland Road</t>
  </si>
  <si>
    <t>Bullhead City</t>
  </si>
  <si>
    <t>864425941</t>
  </si>
  <si>
    <t>1895755467</t>
  </si>
  <si>
    <t>071604000</t>
  </si>
  <si>
    <t>80900</t>
  </si>
  <si>
    <t>Boys &amp; Girls Clubs of the East Valley</t>
  </si>
  <si>
    <t>2602 W BASELINE RD STE 25</t>
  </si>
  <si>
    <t>852025463</t>
  </si>
  <si>
    <t>098033764</t>
  </si>
  <si>
    <t>078746000</t>
  </si>
  <si>
    <t>81097</t>
  </si>
  <si>
    <t>Bradley Academy of Excellence, Inc.</t>
  </si>
  <si>
    <t>10503</t>
  </si>
  <si>
    <t>16060 W. Lower Buckeye Parkway</t>
  </si>
  <si>
    <t>853383633</t>
  </si>
  <si>
    <t>142298475</t>
  </si>
  <si>
    <t>084602000</t>
  </si>
  <si>
    <t>89837</t>
  </si>
  <si>
    <t>BrainBoosters Tutoring Services Center</t>
  </si>
  <si>
    <t>078762000</t>
  </si>
  <si>
    <t>4362</t>
  </si>
  <si>
    <t>Bright Beginnings School, Inc.</t>
  </si>
  <si>
    <t>10196</t>
  </si>
  <si>
    <t>103122000</t>
  </si>
  <si>
    <t>81193</t>
  </si>
  <si>
    <t>Bright Star Learning Center</t>
  </si>
  <si>
    <t>14179</t>
  </si>
  <si>
    <t>1750 E PRINCE RD</t>
  </si>
  <si>
    <t>TUCSON</t>
  </si>
  <si>
    <t>857191927</t>
  </si>
  <si>
    <t>143030000</t>
  </si>
  <si>
    <t>93014</t>
  </si>
  <si>
    <t>Bubbles ChildCare &amp; Preschool</t>
  </si>
  <si>
    <t>15804</t>
  </si>
  <si>
    <t>Bubbles Child Care CTR</t>
  </si>
  <si>
    <t>1798 W 3RD St</t>
  </si>
  <si>
    <t>853641901</t>
  </si>
  <si>
    <t>013175579</t>
  </si>
  <si>
    <t>4269</t>
  </si>
  <si>
    <t>11253</t>
  </si>
  <si>
    <t>BUCKEYE ELEMENTARY SCHOOL DISTRICT 33</t>
  </si>
  <si>
    <t>25555 W Durango St</t>
  </si>
  <si>
    <t>Buckeye</t>
  </si>
  <si>
    <t>85326-9176</t>
  </si>
  <si>
    <t>100001155</t>
  </si>
  <si>
    <t>GC1PLJC48PF3</t>
  </si>
  <si>
    <t>4284</t>
  </si>
  <si>
    <t>11255</t>
  </si>
  <si>
    <t>1000 E. Narramore Ave.</t>
  </si>
  <si>
    <t>85326-2632</t>
  </si>
  <si>
    <t>963256537</t>
  </si>
  <si>
    <t>F1MGYK4MWLH9</t>
  </si>
  <si>
    <t>131601000</t>
  </si>
  <si>
    <t>80476</t>
  </si>
  <si>
    <t>Buena Vista Children's Services</t>
  </si>
  <si>
    <t>101911000</t>
  </si>
  <si>
    <t>90968</t>
  </si>
  <si>
    <t>Build Up Purpose</t>
  </si>
  <si>
    <t>4378</t>
  </si>
  <si>
    <t>11363</t>
  </si>
  <si>
    <t>Bullhead City School District 15</t>
  </si>
  <si>
    <t>1004 Hancock Road</t>
  </si>
  <si>
    <t>86442-5946</t>
  </si>
  <si>
    <t>018774240</t>
  </si>
  <si>
    <t>LW9MQ2AH7XU4</t>
  </si>
  <si>
    <t>078668000</t>
  </si>
  <si>
    <t>C. I. Wilson Academy</t>
  </si>
  <si>
    <t>10326</t>
  </si>
  <si>
    <t>078942000</t>
  </si>
  <si>
    <t>C. I. Wilson Academy II</t>
  </si>
  <si>
    <t>119497000</t>
  </si>
  <si>
    <t>92986</t>
  </si>
  <si>
    <t>C.S.P.A. Corp.</t>
  </si>
  <si>
    <t>078565000</t>
  </si>
  <si>
    <t>90328</t>
  </si>
  <si>
    <t>CAFA, Inc. dba Learning Foundation and Performing Arts Alta Mesa</t>
  </si>
  <si>
    <t>10119</t>
  </si>
  <si>
    <t>CAFA, Inc.</t>
  </si>
  <si>
    <t>4055 E Warner Rd</t>
  </si>
  <si>
    <t>852960927</t>
  </si>
  <si>
    <t>142889208</t>
  </si>
  <si>
    <t>KWMHJKN9T5J4</t>
  </si>
  <si>
    <t>90327</t>
  </si>
  <si>
    <t>10124</t>
  </si>
  <si>
    <t>CAFA, Inc. Learning Foundation and Performing Arts</t>
  </si>
  <si>
    <t>4055 East Warner Road</t>
  </si>
  <si>
    <t>85296-0927</t>
  </si>
  <si>
    <t>79971</t>
  </si>
  <si>
    <t>10445</t>
  </si>
  <si>
    <t>79055</t>
  </si>
  <si>
    <t>10379</t>
  </si>
  <si>
    <t>Calibre Academy, Inc. dba Calibre Academy of Glendale</t>
  </si>
  <si>
    <t>4744 W GROVERS AVE</t>
  </si>
  <si>
    <t>GLENDALE</t>
  </si>
  <si>
    <t>853083453</t>
  </si>
  <si>
    <t>174996012</t>
  </si>
  <si>
    <t>DGT6N39LLTY7</t>
  </si>
  <si>
    <t>128724000</t>
  </si>
  <si>
    <t>Calli Ollin_Academy</t>
  </si>
  <si>
    <t>072285000</t>
  </si>
  <si>
    <t>1002134</t>
  </si>
  <si>
    <t>CalvaryPHX Early Learning Center, LLC</t>
  </si>
  <si>
    <t>12612 N BLACK CANYON HWY</t>
  </si>
  <si>
    <t>850291345</t>
  </si>
  <si>
    <t>78888</t>
  </si>
  <si>
    <t>10125</t>
  </si>
  <si>
    <t>Cambridge Academy East Inc</t>
  </si>
  <si>
    <t>9412 E Brown RD</t>
  </si>
  <si>
    <t>85207-4338</t>
  </si>
  <si>
    <t>113117415</t>
  </si>
  <si>
    <t>RCADN5HVLC39</t>
  </si>
  <si>
    <t>79905</t>
  </si>
  <si>
    <t>10446</t>
  </si>
  <si>
    <t>Camelback Academy</t>
  </si>
  <si>
    <t>7702 W Camelback Rd.</t>
  </si>
  <si>
    <t>853035626</t>
  </si>
  <si>
    <t>080090940</t>
  </si>
  <si>
    <t>VYZGLRJBLA24</t>
  </si>
  <si>
    <t>078211000</t>
  </si>
  <si>
    <t>91330</t>
  </si>
  <si>
    <t>Camino Montessori</t>
  </si>
  <si>
    <t>10590</t>
  </si>
  <si>
    <t>CAMINO MONTESSORI</t>
  </si>
  <si>
    <t>2118 E LA DONNA DR</t>
  </si>
  <si>
    <t>852832447</t>
  </si>
  <si>
    <t>021815061</t>
  </si>
  <si>
    <t>132899001</t>
  </si>
  <si>
    <t>10137</t>
  </si>
  <si>
    <t>Camp Verde Adult Reading Program</t>
  </si>
  <si>
    <t>14711</t>
  </si>
  <si>
    <t>395 S MAIN</t>
  </si>
  <si>
    <t>CAMP VERDE</t>
  </si>
  <si>
    <t>863227272</t>
  </si>
  <si>
    <t>055827765</t>
  </si>
  <si>
    <t>4470</t>
  </si>
  <si>
    <t>11515</t>
  </si>
  <si>
    <t>Camp Verde Unified School District</t>
  </si>
  <si>
    <t>410 CAMP LINCOLN RD</t>
  </si>
  <si>
    <t>863227494</t>
  </si>
  <si>
    <t>020707097</t>
  </si>
  <si>
    <t>HJX3CXELDND9</t>
  </si>
  <si>
    <t>138771000</t>
  </si>
  <si>
    <t>90136</t>
  </si>
  <si>
    <t>Camp Verde Unified School District dba South Verde Technology Magnet</t>
  </si>
  <si>
    <t>10558</t>
  </si>
  <si>
    <t>462 S MAIN ST</t>
  </si>
  <si>
    <t>863227256</t>
  </si>
  <si>
    <t>89758</t>
  </si>
  <si>
    <t>10173</t>
  </si>
  <si>
    <t>Candeo Schools Inc</t>
  </si>
  <si>
    <t>9965 W Calle Lejos</t>
  </si>
  <si>
    <t>85383-1117</t>
  </si>
  <si>
    <t>801181772</t>
  </si>
  <si>
    <t>M77QJNULMZN1</t>
  </si>
  <si>
    <t>1001161</t>
  </si>
  <si>
    <t>10839</t>
  </si>
  <si>
    <t>4484</t>
  </si>
  <si>
    <t>11517</t>
  </si>
  <si>
    <t>Canon School District 50</t>
  </si>
  <si>
    <t>34630 S SCHOOL LOOP RD</t>
  </si>
  <si>
    <t>BLACK CANYON CITY</t>
  </si>
  <si>
    <t>40309</t>
  </si>
  <si>
    <t>853247516</t>
  </si>
  <si>
    <t>158546242</t>
  </si>
  <si>
    <t>LUMVGSJZM4L6</t>
  </si>
  <si>
    <t>108715000</t>
  </si>
  <si>
    <t>81029</t>
  </si>
  <si>
    <t>Canyon Rose Academy, Inc.</t>
  </si>
  <si>
    <t>Canyon Rose Academy Inc</t>
  </si>
  <si>
    <t>3686 W Orange Grove RD</t>
  </si>
  <si>
    <t>857412852</t>
  </si>
  <si>
    <t>072107000</t>
  </si>
  <si>
    <t>79302</t>
  </si>
  <si>
    <t>Canyon State Academy</t>
  </si>
  <si>
    <t>20061 S RITTENHOUSE RD</t>
  </si>
  <si>
    <t>QUEEN CREEK</t>
  </si>
  <si>
    <t>851429715</t>
  </si>
  <si>
    <t>621956960</t>
  </si>
  <si>
    <t>079107000CL</t>
  </si>
  <si>
    <t>80371</t>
  </si>
  <si>
    <t>85242</t>
  </si>
  <si>
    <t>080208795</t>
  </si>
  <si>
    <t>Capital Academic Charter School Systems</t>
  </si>
  <si>
    <t>78858</t>
  </si>
  <si>
    <t>10303</t>
  </si>
  <si>
    <t>Carden of Tucson</t>
  </si>
  <si>
    <t>5260 N Royal Palm Dr</t>
  </si>
  <si>
    <t>857051148</t>
  </si>
  <si>
    <t>149021784</t>
  </si>
  <si>
    <t>DQKXJDAUMDU9</t>
  </si>
  <si>
    <t>078902000</t>
  </si>
  <si>
    <t>4318</t>
  </si>
  <si>
    <t>Carden Traditional School of Glendale  Inc.</t>
  </si>
  <si>
    <t>4400</t>
  </si>
  <si>
    <t>10145</t>
  </si>
  <si>
    <t>Career Development Inc dba NORTHERN ARIZONA ACADEMY - TAYLOR CAMPUS</t>
  </si>
  <si>
    <t>1300 Centennial Blvd</t>
  </si>
  <si>
    <t>Taylor</t>
  </si>
  <si>
    <t>85939</t>
  </si>
  <si>
    <t>933018129</t>
  </si>
  <si>
    <t>LNU2A1123GG3</t>
  </si>
  <si>
    <t>078748000</t>
  </si>
  <si>
    <t>Career Success High School - Mesa</t>
  </si>
  <si>
    <t>79047</t>
  </si>
  <si>
    <t>10369</t>
  </si>
  <si>
    <t>Career Success Charter High Schools NP</t>
  </si>
  <si>
    <t>3816 N 27th Ave</t>
  </si>
  <si>
    <t>850174703</t>
  </si>
  <si>
    <t>129333063</t>
  </si>
  <si>
    <t>QQ4ZFJJXZJ34</t>
  </si>
  <si>
    <t>078709000</t>
  </si>
  <si>
    <t>Carmel Community Inc.</t>
  </si>
  <si>
    <t>078769000</t>
  </si>
  <si>
    <t>Carmel Community Schools</t>
  </si>
  <si>
    <t>80001</t>
  </si>
  <si>
    <t>10452</t>
  </si>
  <si>
    <t>3777 W 22nd Lane</t>
  </si>
  <si>
    <t>85364-5905</t>
  </si>
  <si>
    <t>116115556</t>
  </si>
  <si>
    <t>QRLWEH4PT1J8</t>
  </si>
  <si>
    <t>4282</t>
  </si>
  <si>
    <t>11257</t>
  </si>
  <si>
    <t>Cartwright School District 83</t>
  </si>
  <si>
    <t>5220 W Indian School Rd</t>
  </si>
  <si>
    <t>85031-2605</t>
  </si>
  <si>
    <t>077531465</t>
  </si>
  <si>
    <t>F8CPL2XK7VM4</t>
  </si>
  <si>
    <t>91934</t>
  </si>
  <si>
    <t>10122</t>
  </si>
  <si>
    <t>8047 N 35th Ave</t>
  </si>
  <si>
    <t>850515867</t>
  </si>
  <si>
    <t>078743053</t>
  </si>
  <si>
    <t>L36CGX9MMSP5</t>
  </si>
  <si>
    <t>114001000</t>
  </si>
  <si>
    <t>80246</t>
  </si>
  <si>
    <t>Casa Blanca Community School</t>
  </si>
  <si>
    <t>15527</t>
  </si>
  <si>
    <t>3455 W CASA BLANCA RD</t>
  </si>
  <si>
    <t>BAPCHULE</t>
  </si>
  <si>
    <t>851210105</t>
  </si>
  <si>
    <t>825382740</t>
  </si>
  <si>
    <t>118701000</t>
  </si>
  <si>
    <t>Casa Blanca Middle School</t>
  </si>
  <si>
    <t>102261000</t>
  </si>
  <si>
    <t>79389</t>
  </si>
  <si>
    <t>Casa de los Ninos</t>
  </si>
  <si>
    <t>1101 N. 4th Ave</t>
  </si>
  <si>
    <t>857057467</t>
  </si>
  <si>
    <t>054592852</t>
  </si>
  <si>
    <t>4446</t>
  </si>
  <si>
    <t>11459</t>
  </si>
  <si>
    <t>Casa Grande Elementary School District</t>
  </si>
  <si>
    <t>220 W. Kortsen Road</t>
  </si>
  <si>
    <t>Casa Grande</t>
  </si>
  <si>
    <t>851225910</t>
  </si>
  <si>
    <t>100001197</t>
  </si>
  <si>
    <t>KAWKU7NLSK53</t>
  </si>
  <si>
    <t>4453</t>
  </si>
  <si>
    <t>11461</t>
  </si>
  <si>
    <t>1362 N. Casa Grande Ave</t>
  </si>
  <si>
    <t>851222648</t>
  </si>
  <si>
    <t>125723379</t>
  </si>
  <si>
    <t>NVTNR5XZ1RA3</t>
  </si>
  <si>
    <t>110502700</t>
  </si>
  <si>
    <t>79656</t>
  </si>
  <si>
    <t>Casa Verde High School</t>
  </si>
  <si>
    <t>10538</t>
  </si>
  <si>
    <t>2730 N Trekell Rd</t>
  </si>
  <si>
    <t>CASA GRANDE</t>
  </si>
  <si>
    <t>851221019</t>
  </si>
  <si>
    <t>103161000</t>
  </si>
  <si>
    <t>1000170</t>
  </si>
  <si>
    <t>Casita Daycare &amp; Preschool LLC</t>
  </si>
  <si>
    <t>10768</t>
  </si>
  <si>
    <t>1440 W Ajo Way</t>
  </si>
  <si>
    <t>857135736</t>
  </si>
  <si>
    <t>078908000</t>
  </si>
  <si>
    <t>CASY Country Day School</t>
  </si>
  <si>
    <t>4410</t>
  </si>
  <si>
    <t>11425</t>
  </si>
  <si>
    <t>Catalina Foothills Unified School Distri</t>
  </si>
  <si>
    <t>2101 E River Rd</t>
  </si>
  <si>
    <t>857186508</t>
  </si>
  <si>
    <t>193210457</t>
  </si>
  <si>
    <t>PL46DJGRKWT4</t>
  </si>
  <si>
    <t>149301000</t>
  </si>
  <si>
    <t>10219</t>
  </si>
  <si>
    <t>Catholic Community Services</t>
  </si>
  <si>
    <t>85749</t>
  </si>
  <si>
    <t>10329</t>
  </si>
  <si>
    <t>ARIZONA MONTESSORI CHARTER SCHOOL AT ANTHEM Caurus Academy, Inc.</t>
  </si>
  <si>
    <t>41900 N 42ND AVE</t>
  </si>
  <si>
    <t>850861595</t>
  </si>
  <si>
    <t>800163284</t>
  </si>
  <si>
    <t>ZDTLTQCJ48G9</t>
  </si>
  <si>
    <t>4244</t>
  </si>
  <si>
    <t>11259</t>
  </si>
  <si>
    <t>Cave Creek Unified School District 93</t>
  </si>
  <si>
    <t>33016 N 60th St</t>
  </si>
  <si>
    <t>852665245</t>
  </si>
  <si>
    <t>002901478</t>
  </si>
  <si>
    <t>WF8CG83Y5LH9</t>
  </si>
  <si>
    <t>4395</t>
  </si>
  <si>
    <t>11389</t>
  </si>
  <si>
    <t>Cedar Public School District 25</t>
  </si>
  <si>
    <t>Mile Post 408 HWY264</t>
  </si>
  <si>
    <t>Keams Canyon</t>
  </si>
  <si>
    <t>860340367</t>
  </si>
  <si>
    <t>184115418</t>
  </si>
  <si>
    <t>DFT6GJYLMX11</t>
  </si>
  <si>
    <t>4191</t>
  </si>
  <si>
    <t>10294</t>
  </si>
  <si>
    <t>Center for Academic Success</t>
  </si>
  <si>
    <t>900 Carmelita Dr</t>
  </si>
  <si>
    <t>Sierra Vista</t>
  </si>
  <si>
    <t>85635-1927</t>
  </si>
  <si>
    <t>176787133</t>
  </si>
  <si>
    <t>S5MUL3CXNG14</t>
  </si>
  <si>
    <t>071608000</t>
  </si>
  <si>
    <t>91843</t>
  </si>
  <si>
    <t>Center for the Future of Arizona</t>
  </si>
  <si>
    <t>541 E Van Buren, Suite B5</t>
  </si>
  <si>
    <t>850042211</t>
  </si>
  <si>
    <t>122814747</t>
  </si>
  <si>
    <t>KGBSN9MGLM65</t>
  </si>
  <si>
    <t>110801000</t>
  </si>
  <si>
    <t>79385</t>
  </si>
  <si>
    <t>Central Arizona Valley Institute of Technology</t>
  </si>
  <si>
    <t>10490</t>
  </si>
  <si>
    <t>1789 W. Coolidge Ave</t>
  </si>
  <si>
    <t>85128-9125</t>
  </si>
  <si>
    <t>141811690</t>
  </si>
  <si>
    <t>NRJ9HD27ALL6</t>
  </si>
  <si>
    <t>108712000</t>
  </si>
  <si>
    <t>Cesar Chavez Learning Community  Inc.</t>
  </si>
  <si>
    <t>073561000</t>
  </si>
  <si>
    <t>89752</t>
  </si>
  <si>
    <t>CGKT LLC dba Active Learning Center #6</t>
  </si>
  <si>
    <t>704 E BUTLER DR</t>
  </si>
  <si>
    <t>850203449</t>
  </si>
  <si>
    <t>6362</t>
  </si>
  <si>
    <t>10314</t>
  </si>
  <si>
    <t>Challenge Charter School</t>
  </si>
  <si>
    <t>5801 W Greenbriar Dr.</t>
  </si>
  <si>
    <t>85308-3847</t>
  </si>
  <si>
    <t>110945243</t>
  </si>
  <si>
    <t>DBBCTDD4ACP7</t>
  </si>
  <si>
    <t>79886</t>
  </si>
  <si>
    <t>10423</t>
  </si>
  <si>
    <t>1315 North Greenfield Road</t>
  </si>
  <si>
    <t>85234-2813</t>
  </si>
  <si>
    <t>008041506</t>
  </si>
  <si>
    <t>VJ27MADNF6L3</t>
  </si>
  <si>
    <t>130314000</t>
  </si>
  <si>
    <t>4477</t>
  </si>
  <si>
    <t>Champie Elementary District</t>
  </si>
  <si>
    <t>073372000</t>
  </si>
  <si>
    <t>1001864</t>
  </si>
  <si>
    <t>Chandler Learning Academy</t>
  </si>
  <si>
    <t>5792 W OAKLAND ST</t>
  </si>
  <si>
    <t>CHANDLER</t>
  </si>
  <si>
    <t>852262762</t>
  </si>
  <si>
    <t>88299</t>
  </si>
  <si>
    <t>10335</t>
  </si>
  <si>
    <t>784182870</t>
  </si>
  <si>
    <t>C85HLPW1ZKJ6</t>
  </si>
  <si>
    <t>071699001</t>
  </si>
  <si>
    <t>8624</t>
  </si>
  <si>
    <t>Chandler Public Library</t>
  </si>
  <si>
    <t>4242</t>
  </si>
  <si>
    <t>11261</t>
  </si>
  <si>
    <t>Chandler Unified School District</t>
  </si>
  <si>
    <t>1525 W Frye Rd</t>
  </si>
  <si>
    <t>85224-6178</t>
  </si>
  <si>
    <t>002901486</t>
  </si>
  <si>
    <t>FGJANM3AL4B8</t>
  </si>
  <si>
    <t>108662000</t>
  </si>
  <si>
    <t>6355</t>
  </si>
  <si>
    <t>Charter Foundation, Inc.</t>
  </si>
  <si>
    <t>1150 N COUNTRY CLUB STE 100</t>
  </si>
  <si>
    <t>857163942</t>
  </si>
  <si>
    <t>967820374</t>
  </si>
  <si>
    <t>138753000</t>
  </si>
  <si>
    <t>4497</t>
  </si>
  <si>
    <t>Chester Newton Charter and Montessori School</t>
  </si>
  <si>
    <t>030305000</t>
  </si>
  <si>
    <t>4198</t>
  </si>
  <si>
    <t>Chevelon Butte School District</t>
  </si>
  <si>
    <t>11171</t>
  </si>
  <si>
    <t>002900942</t>
  </si>
  <si>
    <t>072634000</t>
  </si>
  <si>
    <t>8929</t>
  </si>
  <si>
    <t>Chicanos Por La Causa, Inc.</t>
  </si>
  <si>
    <t>1046 E BUCKEYE RD</t>
  </si>
  <si>
    <t>850344043</t>
  </si>
  <si>
    <t>136249609</t>
  </si>
  <si>
    <t>094006000</t>
  </si>
  <si>
    <t>80242</t>
  </si>
  <si>
    <t>Chilchinbeto Community School</t>
  </si>
  <si>
    <t>14575</t>
  </si>
  <si>
    <t>Chilchinbeto Communtiy School</t>
  </si>
  <si>
    <t>E. Hwy 160 Navajo RTE59</t>
  </si>
  <si>
    <t>Kayenta</t>
  </si>
  <si>
    <t>Az</t>
  </si>
  <si>
    <t>860330740</t>
  </si>
  <si>
    <t>557372740</t>
  </si>
  <si>
    <t>102501000</t>
  </si>
  <si>
    <t>9810</t>
  </si>
  <si>
    <t>Child &amp; Family Resources Inc.</t>
  </si>
  <si>
    <t>Child &amp; Family Resources, Inc.</t>
  </si>
  <si>
    <t>2800 E Broadway Blvd</t>
  </si>
  <si>
    <t>857165310</t>
  </si>
  <si>
    <t>148928104</t>
  </si>
  <si>
    <t>102601000</t>
  </si>
  <si>
    <t>7927</t>
  </si>
  <si>
    <t>CHILD PARENT CENTERS, INC</t>
  </si>
  <si>
    <t>14585</t>
  </si>
  <si>
    <t>CHILD PARENT CENTERS INC</t>
  </si>
  <si>
    <t>602 E 22ND ST</t>
  </si>
  <si>
    <t>857131701</t>
  </si>
  <si>
    <t>072428824</t>
  </si>
  <si>
    <t>108776000</t>
  </si>
  <si>
    <t>79056</t>
  </si>
  <si>
    <t>Children's Success Academy, Inc.</t>
  </si>
  <si>
    <t>10351</t>
  </si>
  <si>
    <t>925 E BILBY RD</t>
  </si>
  <si>
    <t>857065507</t>
  </si>
  <si>
    <t>128510273</t>
  </si>
  <si>
    <t>073272000</t>
  </si>
  <si>
    <t>9460</t>
  </si>
  <si>
    <t>Childtime Children's Centers, Inc.</t>
  </si>
  <si>
    <t>15773</t>
  </si>
  <si>
    <t>21333 Haggerty Rd Ste 300</t>
  </si>
  <si>
    <t>NOVI</t>
  </si>
  <si>
    <t>MI</t>
  </si>
  <si>
    <t>483755537</t>
  </si>
  <si>
    <t>072588254</t>
  </si>
  <si>
    <t>4158</t>
  </si>
  <si>
    <t>11107</t>
  </si>
  <si>
    <t>Chinle Unified School District</t>
  </si>
  <si>
    <t>Us Hwy 191 Nr7n</t>
  </si>
  <si>
    <t>Chinle</t>
  </si>
  <si>
    <t>865030587</t>
  </si>
  <si>
    <t>872832159</t>
  </si>
  <si>
    <t>SYUFHH7DNAN7</t>
  </si>
  <si>
    <t>4474</t>
  </si>
  <si>
    <t>11521</t>
  </si>
  <si>
    <t>Chino Valley USD #51</t>
  </si>
  <si>
    <t>650 E Center Street</t>
  </si>
  <si>
    <t>Chino Valley</t>
  </si>
  <si>
    <t>863237407</t>
  </si>
  <si>
    <t>123892275</t>
  </si>
  <si>
    <t>SDNNMNVH6DD5</t>
  </si>
  <si>
    <t>080311000</t>
  </si>
  <si>
    <t>Chloride Elementary District</t>
  </si>
  <si>
    <t>90138</t>
  </si>
  <si>
    <t>10128</t>
  </si>
  <si>
    <t>Choice Academy</t>
  </si>
  <si>
    <t>18443 North 46th Avenue</t>
  </si>
  <si>
    <t>85308-1256</t>
  </si>
  <si>
    <t>802038898</t>
  </si>
  <si>
    <t>QFLKJ3VRF1B1</t>
  </si>
  <si>
    <t>5186</t>
  </si>
  <si>
    <t>10325</t>
  </si>
  <si>
    <t>2608 N 71st Ln</t>
  </si>
  <si>
    <t>85305-1304</t>
  </si>
  <si>
    <t>010850343</t>
  </si>
  <si>
    <t>KLXLEYZ83MG8</t>
  </si>
  <si>
    <t>070212000</t>
  </si>
  <si>
    <t>Christopher Verde School District</t>
  </si>
  <si>
    <t>093916000</t>
  </si>
  <si>
    <t>80415</t>
  </si>
  <si>
    <t>Cibecue Community School, Inc.</t>
  </si>
  <si>
    <t>99999</t>
  </si>
  <si>
    <t>Dishchill'bikoh Community School dba Cibecue Community School</t>
  </si>
  <si>
    <t>211 S Elm Dr</t>
  </si>
  <si>
    <t>859110068</t>
  </si>
  <si>
    <t>037714917</t>
  </si>
  <si>
    <t>92316</t>
  </si>
  <si>
    <t>10174</t>
  </si>
  <si>
    <t>079638686</t>
  </si>
  <si>
    <t>NZ3JGDL62AJ9</t>
  </si>
  <si>
    <t>85448</t>
  </si>
  <si>
    <t>10515</t>
  </si>
  <si>
    <t>47 E Pennington St</t>
  </si>
  <si>
    <t>85701-1535</t>
  </si>
  <si>
    <t>096830216</t>
  </si>
  <si>
    <t>GT4TRNM8DR69</t>
  </si>
  <si>
    <t>100220705</t>
  </si>
  <si>
    <t>78834</t>
  </si>
  <si>
    <t>Civano Charter School</t>
  </si>
  <si>
    <t>10338</t>
  </si>
  <si>
    <t>13801 E BENSON HWY STE B</t>
  </si>
  <si>
    <t>VAIL</t>
  </si>
  <si>
    <t>856419064</t>
  </si>
  <si>
    <t>002902815</t>
  </si>
  <si>
    <t>4486</t>
  </si>
  <si>
    <t>11523</t>
  </si>
  <si>
    <t>Clarkdale-Jerome School District</t>
  </si>
  <si>
    <t>1615 Main St</t>
  </si>
  <si>
    <t>Clarkdale</t>
  </si>
  <si>
    <t>86324</t>
  </si>
  <si>
    <t>182554923</t>
  </si>
  <si>
    <t>PFNSTM1KP9X9</t>
  </si>
  <si>
    <t>078777000</t>
  </si>
  <si>
    <t>Classical Kids Academy</t>
  </si>
  <si>
    <t>080208835</t>
  </si>
  <si>
    <t>Clearview Schools, Inc.</t>
  </si>
  <si>
    <t>060203000</t>
  </si>
  <si>
    <t>4229</t>
  </si>
  <si>
    <t>Clifton Unified District</t>
  </si>
  <si>
    <t>11223</t>
  </si>
  <si>
    <t>800168028</t>
  </si>
  <si>
    <t>110802000</t>
  </si>
  <si>
    <t>79391</t>
  </si>
  <si>
    <t>Cobre Valley Institute of Technology District</t>
  </si>
  <si>
    <t>11189</t>
  </si>
  <si>
    <t>1500 W. Panther Dr. Bldg 3, #206</t>
  </si>
  <si>
    <t>Superior</t>
  </si>
  <si>
    <t>85173</t>
  </si>
  <si>
    <t>169851396</t>
  </si>
  <si>
    <t>JV1GJP3GHKU4</t>
  </si>
  <si>
    <t>81027</t>
  </si>
  <si>
    <t>10384</t>
  </si>
  <si>
    <t>Cochise Community</t>
  </si>
  <si>
    <t>1169 Colombo Ave</t>
  </si>
  <si>
    <t>856352391</t>
  </si>
  <si>
    <t>965759694</t>
  </si>
  <si>
    <t>CZERZG2EALZ3</t>
  </si>
  <si>
    <t>1001687</t>
  </si>
  <si>
    <t>10825</t>
  </si>
  <si>
    <t>Cochise County Accommodation District</t>
  </si>
  <si>
    <t>4001 E Foothills Dr</t>
  </si>
  <si>
    <t>856356534</t>
  </si>
  <si>
    <t>118529901</t>
  </si>
  <si>
    <t>TGHYU63NZDA1</t>
  </si>
  <si>
    <t>211012000</t>
  </si>
  <si>
    <t>79462</t>
  </si>
  <si>
    <t>Cochise County Juvenile Detention</t>
  </si>
  <si>
    <t>13402</t>
  </si>
  <si>
    <t>Cochise, County of</t>
  </si>
  <si>
    <t>1415 Melody Ln Bldg G</t>
  </si>
  <si>
    <t>856033037</t>
  </si>
  <si>
    <t>020126041</t>
  </si>
  <si>
    <t>029999001</t>
  </si>
  <si>
    <t>79188</t>
  </si>
  <si>
    <t>Cochise County School Superintendent</t>
  </si>
  <si>
    <t>13161</t>
  </si>
  <si>
    <t>COUNTY OF COCHISE</t>
  </si>
  <si>
    <t>1415 Melody LANE, Building G</t>
  </si>
  <si>
    <t>856033039</t>
  </si>
  <si>
    <t>LNCRRL2K1DA9</t>
  </si>
  <si>
    <t>79546</t>
  </si>
  <si>
    <t>10784</t>
  </si>
  <si>
    <t>County of Cochise</t>
  </si>
  <si>
    <t>205 N Judd DR</t>
  </si>
  <si>
    <t>856031045</t>
  </si>
  <si>
    <t>4177</t>
  </si>
  <si>
    <t>11139</t>
  </si>
  <si>
    <t>COCHISE SCHOOL DISTRICT 26</t>
  </si>
  <si>
    <t>5025 N. Bowie Ave,.</t>
  </si>
  <si>
    <t>85606</t>
  </si>
  <si>
    <t>002900520</t>
  </si>
  <si>
    <t>UZVJRTM6DMB8</t>
  </si>
  <si>
    <t>071988000</t>
  </si>
  <si>
    <t>430831</t>
  </si>
  <si>
    <t>Cochise SDA Christian School</t>
  </si>
  <si>
    <t>020801000</t>
  </si>
  <si>
    <t>79403</t>
  </si>
  <si>
    <t>Cochise Technology District</t>
  </si>
  <si>
    <t>10488</t>
  </si>
  <si>
    <t>6506 E Mills Maerker Rd</t>
  </si>
  <si>
    <t>85643</t>
  </si>
  <si>
    <t>879979842</t>
  </si>
  <si>
    <t>YEBTVZDLJL39</t>
  </si>
  <si>
    <t>030801000</t>
  </si>
  <si>
    <t>79381</t>
  </si>
  <si>
    <t>Coconino Association for Vocation Industry and Technology</t>
  </si>
  <si>
    <t>11587</t>
  </si>
  <si>
    <t>Coconino Association for Vocational Industry &amp; Technology School District</t>
  </si>
  <si>
    <t>19 Poplar St.</t>
  </si>
  <si>
    <t>Page</t>
  </si>
  <si>
    <t>86040-1059</t>
  </si>
  <si>
    <t>079925985</t>
  </si>
  <si>
    <t>RGTGBZ466AD3</t>
  </si>
  <si>
    <t>034401000</t>
  </si>
  <si>
    <t>87953</t>
  </si>
  <si>
    <t>Coconino Career Center</t>
  </si>
  <si>
    <t>15625</t>
  </si>
  <si>
    <t>030601000</t>
  </si>
  <si>
    <t>6710</t>
  </si>
  <si>
    <t>Coconino Community Colleges</t>
  </si>
  <si>
    <t>12231</t>
  </si>
  <si>
    <t>COCONINO COMMUNITY COLLEGE DISTRICT</t>
  </si>
  <si>
    <t>2800 S LONE TREE ROAD</t>
  </si>
  <si>
    <t>86005-2701</t>
  </si>
  <si>
    <t>780668521</t>
  </si>
  <si>
    <t>T2V6QFBK16Q6</t>
  </si>
  <si>
    <t>10386</t>
  </si>
  <si>
    <t>11187</t>
  </si>
  <si>
    <t>2384 N. Steves Blvd.</t>
  </si>
  <si>
    <t>Flagstaff</t>
  </si>
  <si>
    <t>86004-6105</t>
  </si>
  <si>
    <t>832343037</t>
  </si>
  <si>
    <t>F7NRZLN1L6A3</t>
  </si>
  <si>
    <t>039999002</t>
  </si>
  <si>
    <t>92998</t>
  </si>
  <si>
    <t>Coconino County Education Service Agency</t>
  </si>
  <si>
    <t>10632</t>
  </si>
  <si>
    <t>Coconino, County of</t>
  </si>
  <si>
    <t>219 E. Cherry Avenue</t>
  </si>
  <si>
    <t>860014634</t>
  </si>
  <si>
    <t>100836613</t>
  </si>
  <si>
    <t>NC35L53BFU86</t>
  </si>
  <si>
    <t>211013000</t>
  </si>
  <si>
    <t>79464</t>
  </si>
  <si>
    <t>Coconino County Juvenile Detention</t>
  </si>
  <si>
    <t>13169</t>
  </si>
  <si>
    <t>Coconino, County Of County Managers Office</t>
  </si>
  <si>
    <t>219 E Cherry St</t>
  </si>
  <si>
    <t>039999001</t>
  </si>
  <si>
    <t>6752</t>
  </si>
  <si>
    <t>Coconino County School Superintendent</t>
  </si>
  <si>
    <t>13173</t>
  </si>
  <si>
    <t>COCONINO, COUNTY OF dba County Managers Office</t>
  </si>
  <si>
    <t>1001669</t>
  </si>
  <si>
    <t>101 S La Canada Dr</t>
  </si>
  <si>
    <t>Green Valley</t>
  </si>
  <si>
    <t>856142603</t>
  </si>
  <si>
    <t>ZR8EN6GDFAE8</t>
  </si>
  <si>
    <t>108909000</t>
  </si>
  <si>
    <t>91773</t>
  </si>
  <si>
    <t>Collaborative Pathways, Inc.</t>
  </si>
  <si>
    <t>10162</t>
  </si>
  <si>
    <t>COLLABORATIVE PATHWAYS, LLC</t>
  </si>
  <si>
    <t>9 South La Creciente</t>
  </si>
  <si>
    <t>857113437</t>
  </si>
  <si>
    <t>039274780</t>
  </si>
  <si>
    <t>4370</t>
  </si>
  <si>
    <t>11365</t>
  </si>
  <si>
    <t>COLORADO CITY UNIFIED SCHOOL DISTRICT NO. 14</t>
  </si>
  <si>
    <t>325 N Cottonwood ST</t>
  </si>
  <si>
    <t>Colorado City</t>
  </si>
  <si>
    <t>860210309</t>
  </si>
  <si>
    <t>100642347</t>
  </si>
  <si>
    <t>GK87ERDYH3C3</t>
  </si>
  <si>
    <t>4381</t>
  </si>
  <si>
    <t>11367</t>
  </si>
  <si>
    <t>COLORADO RIVER UNION HIGH SCHOOL DISTRICT #2</t>
  </si>
  <si>
    <t>2251 HIGHWAY 95</t>
  </si>
  <si>
    <t>86442</t>
  </si>
  <si>
    <t>619845209</t>
  </si>
  <si>
    <t>FH55DMKL1FT3</t>
  </si>
  <si>
    <t>071605000</t>
  </si>
  <si>
    <t>84318</t>
  </si>
  <si>
    <t>Community Based Organization - Riparian</t>
  </si>
  <si>
    <t>071699000</t>
  </si>
  <si>
    <t>8623</t>
  </si>
  <si>
    <t>Community Based Organizations - Maricopa County</t>
  </si>
  <si>
    <t>Non-Public Organization</t>
  </si>
  <si>
    <t>020601000</t>
  </si>
  <si>
    <t>6657</t>
  </si>
  <si>
    <t>Community Colleges - Cochise County</t>
  </si>
  <si>
    <t>12181</t>
  </si>
  <si>
    <t>Cochise County Community College District</t>
  </si>
  <si>
    <t>901 N Colombo Ave</t>
  </si>
  <si>
    <t>85635</t>
  </si>
  <si>
    <t>074457425</t>
  </si>
  <si>
    <t>GELXMF2HMFE8</t>
  </si>
  <si>
    <t>050601000</t>
  </si>
  <si>
    <t>6797</t>
  </si>
  <si>
    <t>Community Colleges - Graham County</t>
  </si>
  <si>
    <t>12241</t>
  </si>
  <si>
    <t>Graham County Community College District</t>
  </si>
  <si>
    <t>615 N. Stadium Ave</t>
  </si>
  <si>
    <t>Thatcher</t>
  </si>
  <si>
    <t>85552-5545</t>
  </si>
  <si>
    <t>093662443</t>
  </si>
  <si>
    <t>EKNGZJAUNBK9</t>
  </si>
  <si>
    <t>080601000</t>
  </si>
  <si>
    <t>7642</t>
  </si>
  <si>
    <t>Community Colleges - Mohave County</t>
  </si>
  <si>
    <t>12271</t>
  </si>
  <si>
    <t>Mohave County Community College District</t>
  </si>
  <si>
    <t>1971 Jagerson Ave</t>
  </si>
  <si>
    <t>Kingman</t>
  </si>
  <si>
    <t>864091238</t>
  </si>
  <si>
    <t>070259874</t>
  </si>
  <si>
    <t>LMBSSNLVKDL7</t>
  </si>
  <si>
    <t>110601000</t>
  </si>
  <si>
    <t>8055</t>
  </si>
  <si>
    <t>Community Colleges - Pinal County</t>
  </si>
  <si>
    <t>12601</t>
  </si>
  <si>
    <t>PINAL COUNTY COMMUNITY COLLEGE DISTRICT</t>
  </si>
  <si>
    <t>8470 N OVERFIELD RD</t>
  </si>
  <si>
    <t>85128-9030</t>
  </si>
  <si>
    <t>074457169</t>
  </si>
  <si>
    <t>PJFRJR6JLJ27</t>
  </si>
  <si>
    <t>79467</t>
  </si>
  <si>
    <t>10464</t>
  </si>
  <si>
    <t>8250 E 22ND ST</t>
  </si>
  <si>
    <t>857108518</t>
  </si>
  <si>
    <t>088078816</t>
  </si>
  <si>
    <t>GNKNRWLUCZE3</t>
  </si>
  <si>
    <t>90533</t>
  </si>
  <si>
    <t>10543</t>
  </si>
  <si>
    <t>551 1st Street</t>
  </si>
  <si>
    <t>Prescott</t>
  </si>
  <si>
    <t>863012501</t>
  </si>
  <si>
    <t>831024901</t>
  </si>
  <si>
    <t>XXFVRFKL64J6</t>
  </si>
  <si>
    <t>4160</t>
  </si>
  <si>
    <t>11109</t>
  </si>
  <si>
    <t>Concho Elementary School District 6</t>
  </si>
  <si>
    <t>HWY 61 &amp; Cinder RD</t>
  </si>
  <si>
    <t>Concho</t>
  </si>
  <si>
    <t>859240200</t>
  </si>
  <si>
    <t>183866052</t>
  </si>
  <si>
    <t>NTK4CGYW9F55</t>
  </si>
  <si>
    <t>89556</t>
  </si>
  <si>
    <t>10376</t>
  </si>
  <si>
    <t>Concordia Charter School</t>
  </si>
  <si>
    <t>142 N Date</t>
  </si>
  <si>
    <t>85201-6419</t>
  </si>
  <si>
    <t>800839867</t>
  </si>
  <si>
    <t>MG6JEZK4JC11</t>
  </si>
  <si>
    <t>4479</t>
  </si>
  <si>
    <t>11525</t>
  </si>
  <si>
    <t>Congress Elementary School District</t>
  </si>
  <si>
    <t>26400 S Tenderfoot Hill RD</t>
  </si>
  <si>
    <t>Congress</t>
  </si>
  <si>
    <t>85332-0000</t>
  </si>
  <si>
    <t>800167632</t>
  </si>
  <si>
    <t>XJXUF89GW4B9</t>
  </si>
  <si>
    <t>151799000</t>
  </si>
  <si>
    <t>10222</t>
  </si>
  <si>
    <t>Consortium - LaPaz County</t>
  </si>
  <si>
    <t>4416</t>
  </si>
  <si>
    <t>11427</t>
  </si>
  <si>
    <t>Continental School District 39</t>
  </si>
  <si>
    <t>1991 E Whitehouse Canyon Rd</t>
  </si>
  <si>
    <t>85614-0522</t>
  </si>
  <si>
    <t>183869155</t>
  </si>
  <si>
    <t>ZEQMVQXSCU85</t>
  </si>
  <si>
    <t>4442</t>
  </si>
  <si>
    <t>11463</t>
  </si>
  <si>
    <t>Coolidge School District</t>
  </si>
  <si>
    <t>800 W Northern Ave</t>
  </si>
  <si>
    <t>85128-4000</t>
  </si>
  <si>
    <t>018403196</t>
  </si>
  <si>
    <t>UL8LYVJBBLH9</t>
  </si>
  <si>
    <t>1001671</t>
  </si>
  <si>
    <t>10817</t>
  </si>
  <si>
    <t>1301 E Almeria Rd</t>
  </si>
  <si>
    <t>850062509</t>
  </si>
  <si>
    <t>08-086-0255</t>
  </si>
  <si>
    <t>RJ2XRB5WRYJ7</t>
  </si>
  <si>
    <t>79077</t>
  </si>
  <si>
    <t>10373</t>
  </si>
  <si>
    <t>Cornerstone Charter School, Inc.</t>
  </si>
  <si>
    <t>7107 N. Black Canyon Highway</t>
  </si>
  <si>
    <t>850217619</t>
  </si>
  <si>
    <t>079836483</t>
  </si>
  <si>
    <t>MKMXJZEQLMH6</t>
  </si>
  <si>
    <t>79988</t>
  </si>
  <si>
    <t>10448</t>
  </si>
  <si>
    <t>CORTEZ PARK CHARTER SCHOOL</t>
  </si>
  <si>
    <t>3535 W. Dunlap Avenue</t>
  </si>
  <si>
    <t>850515303</t>
  </si>
  <si>
    <t>005186164</t>
  </si>
  <si>
    <t>EJJNL9369DF3</t>
  </si>
  <si>
    <t>070260840</t>
  </si>
  <si>
    <t>Cottonwood-Oak Creek Charter Schools, Inc.</t>
  </si>
  <si>
    <t>4487</t>
  </si>
  <si>
    <t>11527</t>
  </si>
  <si>
    <t>COTTONWOOD OAK CREEK SCHOOL DISTRICT</t>
  </si>
  <si>
    <t>1 N WILLARD ST</t>
  </si>
  <si>
    <t>COTTONWOD</t>
  </si>
  <si>
    <t>86326-3651</t>
  </si>
  <si>
    <t>100001320</t>
  </si>
  <si>
    <t>HZ24A4J4XWJ7</t>
  </si>
  <si>
    <t>078780000</t>
  </si>
  <si>
    <t>10973</t>
  </si>
  <si>
    <t>Country Day Academy</t>
  </si>
  <si>
    <t>79074</t>
  </si>
  <si>
    <t>10357</t>
  </si>
  <si>
    <t>6313 W Southern Ave</t>
  </si>
  <si>
    <t>Laveen</t>
  </si>
  <si>
    <t>853392916</t>
  </si>
  <si>
    <t>799741207</t>
  </si>
  <si>
    <t>UKY2MKFJ1796</t>
  </si>
  <si>
    <t>4300</t>
  </si>
  <si>
    <t>10188</t>
  </si>
  <si>
    <t>1112 E Buckeye RD</t>
  </si>
  <si>
    <t>088304936</t>
  </si>
  <si>
    <t>Y63RK3FN3MG3</t>
  </si>
  <si>
    <t>108727000</t>
  </si>
  <si>
    <t>4423</t>
  </si>
  <si>
    <t>CPLC Community Schools dba Calli Ollin High School</t>
  </si>
  <si>
    <t>90331</t>
  </si>
  <si>
    <t>10134</t>
  </si>
  <si>
    <t>85034-4043</t>
  </si>
  <si>
    <t>003537102</t>
  </si>
  <si>
    <t>80032</t>
  </si>
  <si>
    <t>10454</t>
  </si>
  <si>
    <t>130012896</t>
  </si>
  <si>
    <t>4501</t>
  </si>
  <si>
    <t>11565</t>
  </si>
  <si>
    <t>Crane Elementary School District</t>
  </si>
  <si>
    <t>4250 W. 16th St</t>
  </si>
  <si>
    <t>85364</t>
  </si>
  <si>
    <t>805346848</t>
  </si>
  <si>
    <t>FQLAFBJCWKN6</t>
  </si>
  <si>
    <t>078253000</t>
  </si>
  <si>
    <t>92369</t>
  </si>
  <si>
    <t>Create Academy</t>
  </si>
  <si>
    <t>10592</t>
  </si>
  <si>
    <t>2645 N 24th St</t>
  </si>
  <si>
    <t>850081807</t>
  </si>
  <si>
    <t>079188313</t>
  </si>
  <si>
    <t>4263</t>
  </si>
  <si>
    <t>11263</t>
  </si>
  <si>
    <t>Creighton School District #14</t>
  </si>
  <si>
    <t>2702 E Flower St.</t>
  </si>
  <si>
    <t>850167461</t>
  </si>
  <si>
    <t>018957894</t>
  </si>
  <si>
    <t>NQ8DLM6LLNB1</t>
  </si>
  <si>
    <t>79443</t>
  </si>
  <si>
    <t>10535</t>
  </si>
  <si>
    <t>Crown Charter School, Inc.</t>
  </si>
  <si>
    <t>12450 W Maryland Ave</t>
  </si>
  <si>
    <t>Litchfield Park</t>
  </si>
  <si>
    <t>853403700</t>
  </si>
  <si>
    <t>008043429</t>
  </si>
  <si>
    <t>GANCJKAAHKF4</t>
  </si>
  <si>
    <t>4483</t>
  </si>
  <si>
    <t>11529</t>
  </si>
  <si>
    <t>Crown King School District 41</t>
  </si>
  <si>
    <t>23550 Towers Mountain Rd</t>
  </si>
  <si>
    <t>Crown King</t>
  </si>
  <si>
    <t>863430188</t>
  </si>
  <si>
    <t>835440009</t>
  </si>
  <si>
    <t>LC9UDQBT7TP4</t>
  </si>
  <si>
    <t>103101000</t>
  </si>
  <si>
    <t>10028</t>
  </si>
  <si>
    <t>D &amp; J Educational Business Inc.</t>
  </si>
  <si>
    <t>15781</t>
  </si>
  <si>
    <t>D and J Educational Business Inc.</t>
  </si>
  <si>
    <t>1321 N. 6th Ave</t>
  </si>
  <si>
    <t>857056641</t>
  </si>
  <si>
    <t>612244210</t>
  </si>
  <si>
    <t>078702000</t>
  </si>
  <si>
    <t>D.W. Higgins Institute</t>
  </si>
  <si>
    <t>10238</t>
  </si>
  <si>
    <t>89917</t>
  </si>
  <si>
    <t>10378</t>
  </si>
  <si>
    <t>2975 W. Linda Lane</t>
  </si>
  <si>
    <t>852247340</t>
  </si>
  <si>
    <t>162198514</t>
  </si>
  <si>
    <t>N28ZHJ6JFJD9</t>
  </si>
  <si>
    <t>79049</t>
  </si>
  <si>
    <t>10401</t>
  </si>
  <si>
    <t>Daisy Education Corporation dba Sonoran Science Academy Tucson</t>
  </si>
  <si>
    <t>2325 W. Sunset RD</t>
  </si>
  <si>
    <t>857413809</t>
  </si>
  <si>
    <t>135004021</t>
  </si>
  <si>
    <t>RD9EPMGTG735</t>
  </si>
  <si>
    <t>078569000</t>
  </si>
  <si>
    <t>90332</t>
  </si>
  <si>
    <t>Daisy Education Corporation dba Sonoran Science Academy - Ahwatukee</t>
  </si>
  <si>
    <t>15705</t>
  </si>
  <si>
    <t>14647 S 50TH ST STE 125</t>
  </si>
  <si>
    <t>850446500</t>
  </si>
  <si>
    <t>031399416</t>
  </si>
  <si>
    <t>89914</t>
  </si>
  <si>
    <t>10356</t>
  </si>
  <si>
    <t>3535 E. McDowell RD</t>
  </si>
  <si>
    <t>850083847</t>
  </si>
  <si>
    <t>170942150</t>
  </si>
  <si>
    <t>JFQNWMFDHFR3</t>
  </si>
  <si>
    <t>89915</t>
  </si>
  <si>
    <t>10336</t>
  </si>
  <si>
    <t>Daisy Education Corporation dba Sonoran Science Academy - East</t>
  </si>
  <si>
    <t>7450 E Stella Rd</t>
  </si>
  <si>
    <t>757302341</t>
  </si>
  <si>
    <t>009655954</t>
  </si>
  <si>
    <t>LBU9LMDBYDL5</t>
  </si>
  <si>
    <t>90284</t>
  </si>
  <si>
    <t>10194</t>
  </si>
  <si>
    <t>Daisy Education Corporation dba Sonoran Science Academy - Davis Monthan</t>
  </si>
  <si>
    <t>5741 E. Ironwood ST</t>
  </si>
  <si>
    <t>857081429</t>
  </si>
  <si>
    <t>018533801</t>
  </si>
  <si>
    <t>FPG9SJU2GEK3</t>
  </si>
  <si>
    <t>90541</t>
  </si>
  <si>
    <t>10542</t>
  </si>
  <si>
    <t>Daisy Education Corporation dba Sonoran Science Academy - Peoria</t>
  </si>
  <si>
    <t>17667 N. 91st Ave</t>
  </si>
  <si>
    <t>853823019</t>
  </si>
  <si>
    <t>963637801</t>
  </si>
  <si>
    <t>LGNUAW8NXAN3</t>
  </si>
  <si>
    <t>108664000</t>
  </si>
  <si>
    <t>Davis Education Center</t>
  </si>
  <si>
    <t>103150000</t>
  </si>
  <si>
    <t>92622</t>
  </si>
  <si>
    <t>De Colores Daycare, LLC</t>
  </si>
  <si>
    <t>7370 S SORREL LN</t>
  </si>
  <si>
    <t>857469032</t>
  </si>
  <si>
    <t>79496</t>
  </si>
  <si>
    <t>10475</t>
  </si>
  <si>
    <t>Deer Valley Academy</t>
  </si>
  <si>
    <t>3050 W Agua Fria Fwy #25</t>
  </si>
  <si>
    <t>850273946</t>
  </si>
  <si>
    <t>847915852</t>
  </si>
  <si>
    <t>RCCAADN14VU6</t>
  </si>
  <si>
    <t>4246</t>
  </si>
  <si>
    <t>11265</t>
  </si>
  <si>
    <t>Deer Valley School District #97</t>
  </si>
  <si>
    <t>20402 N 15th Avenue</t>
  </si>
  <si>
    <t>850273636</t>
  </si>
  <si>
    <t>002902112</t>
  </si>
  <si>
    <t>LQQ4SRYSCKM1</t>
  </si>
  <si>
    <t>073439000</t>
  </si>
  <si>
    <t>80645</t>
  </si>
  <si>
    <t>Della, Inc. dba Premier Children's Center</t>
  </si>
  <si>
    <t>3335 W GREENWAY RD</t>
  </si>
  <si>
    <t>850173023</t>
  </si>
  <si>
    <t>81099</t>
  </si>
  <si>
    <t>10340</t>
  </si>
  <si>
    <t>5821 W. Beverly LN</t>
  </si>
  <si>
    <t>853061801</t>
  </si>
  <si>
    <t>192678501</t>
  </si>
  <si>
    <t>H2J9Q4D5B1W4</t>
  </si>
  <si>
    <t>108787000</t>
  </si>
  <si>
    <t>79441</t>
  </si>
  <si>
    <t>Desert Rose Academy,Inc.</t>
  </si>
  <si>
    <t>10865</t>
  </si>
  <si>
    <t>Desert Rose Academy Inc</t>
  </si>
  <si>
    <t>1001917</t>
  </si>
  <si>
    <t>10846</t>
  </si>
  <si>
    <t>3434 EAST BROADWAY BLVD</t>
  </si>
  <si>
    <t>85716-5406</t>
  </si>
  <si>
    <t>88308</t>
  </si>
  <si>
    <t>10344</t>
  </si>
  <si>
    <t>Desert Sky Community School</t>
  </si>
  <si>
    <t>1350 N Arcadia Ave</t>
  </si>
  <si>
    <t>85712</t>
  </si>
  <si>
    <t>780399593</t>
  </si>
  <si>
    <t>EB6XLJDQ1633</t>
  </si>
  <si>
    <t>108771000</t>
  </si>
  <si>
    <t>10969</t>
  </si>
  <si>
    <t>Desert Springs Academy</t>
  </si>
  <si>
    <t>10213</t>
  </si>
  <si>
    <t>070260740</t>
  </si>
  <si>
    <t>Desert Springs Scholastic Institute</t>
  </si>
  <si>
    <t>92302</t>
  </si>
  <si>
    <t>14393</t>
  </si>
  <si>
    <t>Desert Star Academy Inc</t>
  </si>
  <si>
    <t>5744 Hwy 95</t>
  </si>
  <si>
    <t>86426</t>
  </si>
  <si>
    <t>028716804</t>
  </si>
  <si>
    <t>X5R6Q969CLY7</t>
  </si>
  <si>
    <t>88321</t>
  </si>
  <si>
    <t>10289</t>
  </si>
  <si>
    <t>Desert Star Community School</t>
  </si>
  <si>
    <t>1240 S Recycler Rd</t>
  </si>
  <si>
    <t>Cornville</t>
  </si>
  <si>
    <t>863255224</t>
  </si>
  <si>
    <t>163154177</t>
  </si>
  <si>
    <t>DHM2CXS1DLZ5</t>
  </si>
  <si>
    <t>088757000</t>
  </si>
  <si>
    <t>Desert Technology Schools  Inc.</t>
  </si>
  <si>
    <t>6258</t>
  </si>
  <si>
    <t>10223</t>
  </si>
  <si>
    <t>Destiny School</t>
  </si>
  <si>
    <t>798 E Prickly Pear Dr.</t>
  </si>
  <si>
    <t>Globe</t>
  </si>
  <si>
    <t>855012395</t>
  </si>
  <si>
    <t>003790842</t>
  </si>
  <si>
    <t>EK8EHNLR8PB5</t>
  </si>
  <si>
    <t>098651000</t>
  </si>
  <si>
    <t>79269</t>
  </si>
  <si>
    <t>Developing Innovations in Navajo Education, Inc. (DINE, Inc.)</t>
  </si>
  <si>
    <t>10226</t>
  </si>
  <si>
    <t>HC 63 BOX 303</t>
  </si>
  <si>
    <t>WINSLOW</t>
  </si>
  <si>
    <t>860479424</t>
  </si>
  <si>
    <t>133136494</t>
  </si>
  <si>
    <t>072102000</t>
  </si>
  <si>
    <t>7295</t>
  </si>
  <si>
    <t>Devereux Arizona</t>
  </si>
  <si>
    <t>078620000</t>
  </si>
  <si>
    <t>Dimensions Academy</t>
  </si>
  <si>
    <t>6357</t>
  </si>
  <si>
    <t>10214</t>
  </si>
  <si>
    <t>Discovery Plus</t>
  </si>
  <si>
    <t>852 W 250 N</t>
  </si>
  <si>
    <t>855439601</t>
  </si>
  <si>
    <t>028123284</t>
  </si>
  <si>
    <t>SLZ4NWCND413</t>
  </si>
  <si>
    <t>4179</t>
  </si>
  <si>
    <t>11143</t>
  </si>
  <si>
    <t>Hannah Hurtado</t>
  </si>
  <si>
    <t>7081 North Central</t>
  </si>
  <si>
    <t>McNeal</t>
  </si>
  <si>
    <t>85617</t>
  </si>
  <si>
    <t>800160884</t>
  </si>
  <si>
    <t>NRZGBH7BTPH3</t>
  </si>
  <si>
    <t>4174</t>
  </si>
  <si>
    <t>11145</t>
  </si>
  <si>
    <t>Douglas Unified School District #27</t>
  </si>
  <si>
    <t>1132 E 12th St</t>
  </si>
  <si>
    <t>044011641</t>
  </si>
  <si>
    <t>K8V8MMF3DAX5</t>
  </si>
  <si>
    <t>078978000</t>
  </si>
  <si>
    <t>Dove Learning Inc.</t>
  </si>
  <si>
    <t>071602000</t>
  </si>
  <si>
    <t>80521</t>
  </si>
  <si>
    <t>Downtown Urban Community Kids</t>
  </si>
  <si>
    <t>078632000</t>
  </si>
  <si>
    <t>Dragonfleye Science  Inc.</t>
  </si>
  <si>
    <t>4228</t>
  </si>
  <si>
    <t>11225</t>
  </si>
  <si>
    <t>DUNCAN USD</t>
  </si>
  <si>
    <t>208 Stadium Blvd.</t>
  </si>
  <si>
    <t>Duncan</t>
  </si>
  <si>
    <t>855340710</t>
  </si>
  <si>
    <t>008953648</t>
  </si>
  <si>
    <t>X4SJCW5M3ZN3</t>
  </si>
  <si>
    <t>4243</t>
  </si>
  <si>
    <t>11267</t>
  </si>
  <si>
    <t>Dysart Unified School District No. 89</t>
  </si>
  <si>
    <t>15802 N. Parkview Place</t>
  </si>
  <si>
    <t>Surprise</t>
  </si>
  <si>
    <t>853747466</t>
  </si>
  <si>
    <t>002901544</t>
  </si>
  <si>
    <t>ER15CJPRV3X5</t>
  </si>
  <si>
    <t>078990000</t>
  </si>
  <si>
    <t>85514</t>
  </si>
  <si>
    <t>E-cademie, A Charter School</t>
  </si>
  <si>
    <t>10130</t>
  </si>
  <si>
    <t>154189455</t>
  </si>
  <si>
    <t>088756000</t>
  </si>
  <si>
    <t>E.A.G.L.E. Academy  Inc.</t>
  </si>
  <si>
    <t>158701000</t>
  </si>
  <si>
    <t>6360</t>
  </si>
  <si>
    <t>E.Q. Scholars, Inc.</t>
  </si>
  <si>
    <t>10286</t>
  </si>
  <si>
    <t>008520657</t>
  </si>
  <si>
    <t>91170</t>
  </si>
  <si>
    <t>10193</t>
  </si>
  <si>
    <t>2435 E Pecan Rd</t>
  </si>
  <si>
    <t>850403632</t>
  </si>
  <si>
    <t>057488882</t>
  </si>
  <si>
    <t>XLKJCV9RJHD8</t>
  </si>
  <si>
    <t>91938</t>
  </si>
  <si>
    <t>10216</t>
  </si>
  <si>
    <t>3950 N 53rd Ave</t>
  </si>
  <si>
    <t>85031-3011</t>
  </si>
  <si>
    <t>079644077</t>
  </si>
  <si>
    <t>QXJ2NLK5VU43</t>
  </si>
  <si>
    <t>91939</t>
  </si>
  <si>
    <t>10232</t>
  </si>
  <si>
    <t>EAGLE College Prep Mesa, LLC</t>
  </si>
  <si>
    <t>1619 E Main Street</t>
  </si>
  <si>
    <t>85203-9017</t>
  </si>
  <si>
    <t>833818938</t>
  </si>
  <si>
    <t>GQ6HR79DFL63</t>
  </si>
  <si>
    <t>060345000</t>
  </si>
  <si>
    <t>4232</t>
  </si>
  <si>
    <t>Eagle Elementary District</t>
  </si>
  <si>
    <t>253 5th St.</t>
  </si>
  <si>
    <t>89850</t>
  </si>
  <si>
    <t>10185</t>
  </si>
  <si>
    <t>2450 W South Mountain Ave.</t>
  </si>
  <si>
    <t>85041-7601</t>
  </si>
  <si>
    <t>078689702</t>
  </si>
  <si>
    <t>J6N9Y4JTRLC7</t>
  </si>
  <si>
    <t>87401</t>
  </si>
  <si>
    <t>10532</t>
  </si>
  <si>
    <t>Imagine Schools Inc</t>
  </si>
  <si>
    <t>9701 E. Southern Avenue</t>
  </si>
  <si>
    <t>85209-3769</t>
  </si>
  <si>
    <t>612552252</t>
  </si>
  <si>
    <t>NHZRQS1CNHS8</t>
  </si>
  <si>
    <t>078683000</t>
  </si>
  <si>
    <t>10971</t>
  </si>
  <si>
    <t>East Valley Academy</t>
  </si>
  <si>
    <t>070801000</t>
  </si>
  <si>
    <t>4516</t>
  </si>
  <si>
    <t>East Valley Institute of Technology</t>
  </si>
  <si>
    <t>11269</t>
  </si>
  <si>
    <t>EAST VALLEY INSTITUTE OF TECHNOLOGY</t>
  </si>
  <si>
    <t>1601 W Main Street</t>
  </si>
  <si>
    <t>85201</t>
  </si>
  <si>
    <t>159422583</t>
  </si>
  <si>
    <t>RL6ZA6C8SHW6</t>
  </si>
  <si>
    <t>078778000</t>
  </si>
  <si>
    <t>East Valley Youth and Family Support Centers  Inc.</t>
  </si>
  <si>
    <t>108781000</t>
  </si>
  <si>
    <t>78833</t>
  </si>
  <si>
    <t>Eastpointe High School, Inc.</t>
  </si>
  <si>
    <t>Eastpointe High School</t>
  </si>
  <si>
    <t>8495 East Broadway Blvd</t>
  </si>
  <si>
    <t>857104009</t>
  </si>
  <si>
    <t>122673184</t>
  </si>
  <si>
    <t>078271000</t>
  </si>
  <si>
    <t>92783</t>
  </si>
  <si>
    <t>ECA - Arizona, Inc.</t>
  </si>
  <si>
    <t>10611</t>
  </si>
  <si>
    <t>5005 S Wendler Drive</t>
  </si>
  <si>
    <t>852826321</t>
  </si>
  <si>
    <t>079397606</t>
  </si>
  <si>
    <t>078764000</t>
  </si>
  <si>
    <t>Ecotech Academy of Science and Agriculture</t>
  </si>
  <si>
    <t>90506</t>
  </si>
  <si>
    <t>10398</t>
  </si>
  <si>
    <t>Academy Adventures Midtown DBA Ed Ahead</t>
  </si>
  <si>
    <t>1638 E Water ST</t>
  </si>
  <si>
    <t>85719-3347</t>
  </si>
  <si>
    <t>809201812</t>
  </si>
  <si>
    <t>RTSSHMKLUK26</t>
  </si>
  <si>
    <t>4421</t>
  </si>
  <si>
    <t>10205</t>
  </si>
  <si>
    <t>EDGE SCHOOL INC, THE</t>
  </si>
  <si>
    <t>2555 E 1ST ST</t>
  </si>
  <si>
    <t>85716-4152</t>
  </si>
  <si>
    <t>967808775</t>
  </si>
  <si>
    <t>JT47LX5BN2T6</t>
  </si>
  <si>
    <t>743644</t>
  </si>
  <si>
    <t>10698</t>
  </si>
  <si>
    <t>8340 West Northern Avenue</t>
  </si>
  <si>
    <t>853051305</t>
  </si>
  <si>
    <t>080636101</t>
  </si>
  <si>
    <t>VAH8MUDN1D43</t>
  </si>
  <si>
    <t>018701000</t>
  </si>
  <si>
    <t>Edkey Inc. - Mountainaire Academy</t>
  </si>
  <si>
    <t>6365</t>
  </si>
  <si>
    <t>10227</t>
  </si>
  <si>
    <t>Edkey, Inc. American Heritage Academy</t>
  </si>
  <si>
    <t>132 W General Crook TRL</t>
  </si>
  <si>
    <t>Camp Verde</t>
  </si>
  <si>
    <t>863228575</t>
  </si>
  <si>
    <t>946822272</t>
  </si>
  <si>
    <t>W9FNP2MEYJL5</t>
  </si>
  <si>
    <t>078916000</t>
  </si>
  <si>
    <t>79216</t>
  </si>
  <si>
    <t>Edkey, Inc.</t>
  </si>
  <si>
    <t>10375</t>
  </si>
  <si>
    <t>128380503</t>
  </si>
  <si>
    <t>79981</t>
  </si>
  <si>
    <t>10447</t>
  </si>
  <si>
    <t>Edkey, Inc. Arizona Conservatory for Arts and Academics Elementary School</t>
  </si>
  <si>
    <t>16454 N 28TH AVE</t>
  </si>
  <si>
    <t>850537534</t>
  </si>
  <si>
    <t>794554860</t>
  </si>
  <si>
    <t>ZJWTERMDB123</t>
  </si>
  <si>
    <t>81045</t>
  </si>
  <si>
    <t>10502</t>
  </si>
  <si>
    <t>2906 N Boulder Canyon</t>
  </si>
  <si>
    <t>852071066</t>
  </si>
  <si>
    <t>005191570</t>
  </si>
  <si>
    <t>K2Y2LJ5K7GQ8</t>
  </si>
  <si>
    <t>81043</t>
  </si>
  <si>
    <t>10499</t>
  </si>
  <si>
    <t>2820 W Kelton LN</t>
  </si>
  <si>
    <t>850533028</t>
  </si>
  <si>
    <t>020195323</t>
  </si>
  <si>
    <t>J299YYJK6425</t>
  </si>
  <si>
    <t>6446</t>
  </si>
  <si>
    <t>10299</t>
  </si>
  <si>
    <t>1460 S Horne</t>
  </si>
  <si>
    <t>Mesa,</t>
  </si>
  <si>
    <t>852045760</t>
  </si>
  <si>
    <t>618258185</t>
  </si>
  <si>
    <t>HR3LM14Z6EN4</t>
  </si>
  <si>
    <t>4329</t>
  </si>
  <si>
    <t>10298</t>
  </si>
  <si>
    <t>2331 N Horne</t>
  </si>
  <si>
    <t>852031823</t>
  </si>
  <si>
    <t>929965981</t>
  </si>
  <si>
    <t>VN5GRJGAAXJ4</t>
  </si>
  <si>
    <t>92226</t>
  </si>
  <si>
    <t>10621</t>
  </si>
  <si>
    <t>Edky, Inc.</t>
  </si>
  <si>
    <t>19265 N Porter RD</t>
  </si>
  <si>
    <t>851384053</t>
  </si>
  <si>
    <t>010642928</t>
  </si>
  <si>
    <t>ENJNZ76ENKC9</t>
  </si>
  <si>
    <t>81052</t>
  </si>
  <si>
    <t>10501</t>
  </si>
  <si>
    <t>Edkey, Inc. Children First Leadership Academy</t>
  </si>
  <si>
    <t>1648 S 16TH ST</t>
  </si>
  <si>
    <t>850345340</t>
  </si>
  <si>
    <t>057487975</t>
  </si>
  <si>
    <t>D8YUW47K8Z18</t>
  </si>
  <si>
    <t>81050</t>
  </si>
  <si>
    <t>10500</t>
  </si>
  <si>
    <t>1460 S Horne Bldg 8</t>
  </si>
  <si>
    <t>079982962</t>
  </si>
  <si>
    <t>D5CJR2NH5RQ6</t>
  </si>
  <si>
    <t>79211</t>
  </si>
  <si>
    <t>10377</t>
  </si>
  <si>
    <t>Edkey, Inc. Sequoia Village School</t>
  </si>
  <si>
    <t>982 Full House LN</t>
  </si>
  <si>
    <t>859014042</t>
  </si>
  <si>
    <t>618259530</t>
  </si>
  <si>
    <t>L2FQYDTEZ383</t>
  </si>
  <si>
    <t>078739000</t>
  </si>
  <si>
    <t>Educational Administrative  Services</t>
  </si>
  <si>
    <t>81123</t>
  </si>
  <si>
    <t>10504</t>
  </si>
  <si>
    <t>1950 E PLACITA SIN NOMBRE</t>
  </si>
  <si>
    <t>85718-2092</t>
  </si>
  <si>
    <t>130456929</t>
  </si>
  <si>
    <t>KZ8NBYE89ZV3</t>
  </si>
  <si>
    <t>078623000</t>
  </si>
  <si>
    <t>1000167</t>
  </si>
  <si>
    <t>Educational Models for Learning Inc</t>
  </si>
  <si>
    <t>10750</t>
  </si>
  <si>
    <t>Educational Models for Learning</t>
  </si>
  <si>
    <t>16706 North 109th Way</t>
  </si>
  <si>
    <t>852552425</t>
  </si>
  <si>
    <t>095601982</t>
  </si>
  <si>
    <t>118714000</t>
  </si>
  <si>
    <t>91274</t>
  </si>
  <si>
    <t>Educational Opportunities, Inc.</t>
  </si>
  <si>
    <t>002846317</t>
  </si>
  <si>
    <t>90201</t>
  </si>
  <si>
    <t>10143</t>
  </si>
  <si>
    <t>Educational Options Foundation DBA EdOptions Preparatory Academy</t>
  </si>
  <si>
    <t>2150 E Southern AVE STE 723</t>
  </si>
  <si>
    <t>852827504</t>
  </si>
  <si>
    <t>832064401</t>
  </si>
  <si>
    <t>F4EPA5Q8YTX1</t>
  </si>
  <si>
    <t>078717000</t>
  </si>
  <si>
    <t>4341</t>
  </si>
  <si>
    <t>EduPreneurship, Inc.</t>
  </si>
  <si>
    <t>10126</t>
  </si>
  <si>
    <t>EduPreneurship Inc.</t>
  </si>
  <si>
    <t>7310 N 27th Ave.</t>
  </si>
  <si>
    <t>850517505</t>
  </si>
  <si>
    <t>032556825</t>
  </si>
  <si>
    <t>JM9YJBEAN6J3</t>
  </si>
  <si>
    <t>078687000</t>
  </si>
  <si>
    <t>89412</t>
  </si>
  <si>
    <t>Eduprize Schools, LLC</t>
  </si>
  <si>
    <t>EDUPRIZE SCHOOLS, LLC</t>
  </si>
  <si>
    <t>4567 W. Roberts Road</t>
  </si>
  <si>
    <t>Queen Creek</t>
  </si>
  <si>
    <t>851427511</t>
  </si>
  <si>
    <t>002106274</t>
  </si>
  <si>
    <t>Non-Funded</t>
  </si>
  <si>
    <t>080208825</t>
  </si>
  <si>
    <t>Edwards Hall Charter School</t>
  </si>
  <si>
    <t>108792000</t>
  </si>
  <si>
    <t>79640</t>
  </si>
  <si>
    <t>El Centro for the Study of Primary and Secondary Education</t>
  </si>
  <si>
    <t>10390</t>
  </si>
  <si>
    <t>2797 N INTROSPECT DR</t>
  </si>
  <si>
    <t>857459454</t>
  </si>
  <si>
    <t>009485959</t>
  </si>
  <si>
    <t>108797000</t>
  </si>
  <si>
    <t>87440</t>
  </si>
  <si>
    <t>El Pueblo Integral - Teaching &amp; Learning Collaborative</t>
  </si>
  <si>
    <t>10247</t>
  </si>
  <si>
    <t>3851 N VINES END PLACE</t>
  </si>
  <si>
    <t>857191498</t>
  </si>
  <si>
    <t>130650810</t>
  </si>
  <si>
    <t>108910000</t>
  </si>
  <si>
    <t>91959</t>
  </si>
  <si>
    <t>10522</t>
  </si>
  <si>
    <t>3851 NORTH VINES END PLACE</t>
  </si>
  <si>
    <t>4185</t>
  </si>
  <si>
    <t>11147</t>
  </si>
  <si>
    <t>Elfrida Elementary School District</t>
  </si>
  <si>
    <t>4070 Jefferson Road</t>
  </si>
  <si>
    <t>Elfrida</t>
  </si>
  <si>
    <t>856109125</t>
  </si>
  <si>
    <t>835440090</t>
  </si>
  <si>
    <t>HJW6JEZ4FNY5</t>
  </si>
  <si>
    <t>079488000</t>
  </si>
  <si>
    <t>92996</t>
  </si>
  <si>
    <t>Elizabeth Camille Foundation, Inc.</t>
  </si>
  <si>
    <t>4448</t>
  </si>
  <si>
    <t>11465</t>
  </si>
  <si>
    <t>Eloy Elementary School District #11</t>
  </si>
  <si>
    <t>1011 N. Sunshine Blvd.</t>
  </si>
  <si>
    <t>Eloy</t>
  </si>
  <si>
    <t>851312178</t>
  </si>
  <si>
    <t>100001395</t>
  </si>
  <si>
    <t>E1YNLJTJ4LB7</t>
  </si>
  <si>
    <t>100337000</t>
  </si>
  <si>
    <t>4415</t>
  </si>
  <si>
    <t>Empire Elementary District</t>
  </si>
  <si>
    <t>11101</t>
  </si>
  <si>
    <t>Empire Elementary School District</t>
  </si>
  <si>
    <t>13200 E Greaterville RD</t>
  </si>
  <si>
    <t>Sonoita</t>
  </si>
  <si>
    <t>856376421</t>
  </si>
  <si>
    <t>832225523</t>
  </si>
  <si>
    <t>M5RVDQPBD6K5</t>
  </si>
  <si>
    <t>078664000</t>
  </si>
  <si>
    <t>6375</t>
  </si>
  <si>
    <t>Employ-Ability Unlimited, Inc.</t>
  </si>
  <si>
    <t>10249</t>
  </si>
  <si>
    <t>7785 W PEORIA AVE</t>
  </si>
  <si>
    <t>PEORIA</t>
  </si>
  <si>
    <t>853455922</t>
  </si>
  <si>
    <t>048555531</t>
  </si>
  <si>
    <t>91277</t>
  </si>
  <si>
    <t>10577</t>
  </si>
  <si>
    <t>2411 W. Colter St.</t>
  </si>
  <si>
    <t>85015-2716</t>
  </si>
  <si>
    <t>055842130</t>
  </si>
  <si>
    <t>JRUMNXR7VXS4</t>
  </si>
  <si>
    <t>078262001</t>
  </si>
  <si>
    <t>Empower Collegiate Academy</t>
  </si>
  <si>
    <t>2411 W Colter St.</t>
  </si>
  <si>
    <t>850152716</t>
  </si>
  <si>
    <t>078262000</t>
  </si>
  <si>
    <t>92975</t>
  </si>
  <si>
    <t>10649</t>
  </si>
  <si>
    <t>080090562</t>
  </si>
  <si>
    <t>078574000</t>
  </si>
  <si>
    <t>90887</t>
  </si>
  <si>
    <t>Energy and Science Academy, Inc.</t>
  </si>
  <si>
    <t>078610000</t>
  </si>
  <si>
    <t>Enterprise Academy</t>
  </si>
  <si>
    <t>10204</t>
  </si>
  <si>
    <t>078505000</t>
  </si>
  <si>
    <t>87336</t>
  </si>
  <si>
    <t>Esperanza Community Collegial Academy</t>
  </si>
  <si>
    <t>10528</t>
  </si>
  <si>
    <t>800162443</t>
  </si>
  <si>
    <t>92250</t>
  </si>
  <si>
    <t>10235</t>
  </si>
  <si>
    <t>Espiritu Community Development Corp</t>
  </si>
  <si>
    <t>4848 S. 2nd Street</t>
  </si>
  <si>
    <t>85040-2122</t>
  </si>
  <si>
    <t>964375117</t>
  </si>
  <si>
    <t>KL7NFS8W8E33</t>
  </si>
  <si>
    <t>4335</t>
  </si>
  <si>
    <t>10127</t>
  </si>
  <si>
    <t>92902</t>
  </si>
  <si>
    <t>10613</t>
  </si>
  <si>
    <t>079874826</t>
  </si>
  <si>
    <t>NLH4N862U6C5</t>
  </si>
  <si>
    <t>92988</t>
  </si>
  <si>
    <t>10640</t>
  </si>
  <si>
    <t>9348 S 178TH DR</t>
  </si>
  <si>
    <t>85338-9644</t>
  </si>
  <si>
    <t>079192749</t>
  </si>
  <si>
    <t>JTNNA4MDMRB8</t>
  </si>
  <si>
    <t>142209000</t>
  </si>
  <si>
    <t>92799</t>
  </si>
  <si>
    <t>Estrellita Child Care Center, LLC</t>
  </si>
  <si>
    <t>15772</t>
  </si>
  <si>
    <t>751 N. 4th Avenue</t>
  </si>
  <si>
    <t>85349</t>
  </si>
  <si>
    <t>032819085</t>
  </si>
  <si>
    <t>DYLDT2QBPLB8</t>
  </si>
  <si>
    <t>92379</t>
  </si>
  <si>
    <t>10593</t>
  </si>
  <si>
    <t>Ethos Academy A Challenge Foundation Academy, Inc</t>
  </si>
  <si>
    <t>8840 N 43RD AVE</t>
  </si>
  <si>
    <t>079175551</t>
  </si>
  <si>
    <t>TK19DZXX5AC1</t>
  </si>
  <si>
    <t>078797000</t>
  </si>
  <si>
    <t>Evergreen Charter School Corp.</t>
  </si>
  <si>
    <t>10370</t>
  </si>
  <si>
    <t>79214</t>
  </si>
  <si>
    <t>10313</t>
  </si>
  <si>
    <t>1045 S SAN MARCOS DR</t>
  </si>
  <si>
    <t>APACHE JUNCTION</t>
  </si>
  <si>
    <t>851206337</t>
  </si>
  <si>
    <t>037389322</t>
  </si>
  <si>
    <t>JYBMAB7LNJN1</t>
  </si>
  <si>
    <t>138706000</t>
  </si>
  <si>
    <t>Excel Education Centers Chino Valley  LLC</t>
  </si>
  <si>
    <t>138707000</t>
  </si>
  <si>
    <t>Excel Education Centers Cottonwood  LLC</t>
  </si>
  <si>
    <t>038704000</t>
  </si>
  <si>
    <t>Excel Education Centers Flagstaff  LLC</t>
  </si>
  <si>
    <t>088701000</t>
  </si>
  <si>
    <t>Excel Education Centers Fort Mohave  LLC</t>
  </si>
  <si>
    <t>138709000</t>
  </si>
  <si>
    <t>Excel Education Centers Prescott LLC</t>
  </si>
  <si>
    <t>138710000</t>
  </si>
  <si>
    <t>Excel Education Centers Prescott Valley  LLC</t>
  </si>
  <si>
    <t>048702000</t>
  </si>
  <si>
    <t>Excel Education Centers San Carlos  LLC</t>
  </si>
  <si>
    <t>138737000</t>
  </si>
  <si>
    <t>Excel Education Centers, Inc.</t>
  </si>
  <si>
    <t>078626000</t>
  </si>
  <si>
    <t>1002006</t>
  </si>
  <si>
    <t>Explore Academy - Peoria</t>
  </si>
  <si>
    <t>10843</t>
  </si>
  <si>
    <t>5215 E Karen Dr</t>
  </si>
  <si>
    <t>85254-2340</t>
  </si>
  <si>
    <t>143031000</t>
  </si>
  <si>
    <t>42450</t>
  </si>
  <si>
    <t>Famania Learning Center</t>
  </si>
  <si>
    <t>10674</t>
  </si>
  <si>
    <t>Marcela Pacheco</t>
  </si>
  <si>
    <t>3333 E Edna Lopez Court</t>
  </si>
  <si>
    <t>080662848</t>
  </si>
  <si>
    <t>111640000</t>
  </si>
  <si>
    <t>90046</t>
  </si>
  <si>
    <t>Fast And Indispensable Temporary Help (F.A.I.T.H) Ministries, Inc.</t>
  </si>
  <si>
    <t>785069241</t>
  </si>
  <si>
    <t>142506000</t>
  </si>
  <si>
    <t>1001961</t>
  </si>
  <si>
    <t>First steps Preschool LLC</t>
  </si>
  <si>
    <t>10866</t>
  </si>
  <si>
    <t>Formerly Known As: Paola Garcia - Pao Day Care (HQEL Grant)</t>
  </si>
  <si>
    <t>1350 E MONREAL LN</t>
  </si>
  <si>
    <t>SAN LUIS</t>
  </si>
  <si>
    <t>78783</t>
  </si>
  <si>
    <t>10257</t>
  </si>
  <si>
    <t>FIT KIDS, INC.</t>
  </si>
  <si>
    <t>6991 E Camelback RD STE D300</t>
  </si>
  <si>
    <t>85251-2492</t>
  </si>
  <si>
    <t>012786939</t>
  </si>
  <si>
    <t>TLPJVESB4J79</t>
  </si>
  <si>
    <t>4202</t>
  </si>
  <si>
    <t>10206</t>
  </si>
  <si>
    <t>Flagstaff Arts and Leadership Academy Inc</t>
  </si>
  <si>
    <t>3100 N Fort Valley RD</t>
  </si>
  <si>
    <t>860018358</t>
  </si>
  <si>
    <t>179293683</t>
  </si>
  <si>
    <t>D2YUY5UB9UM7</t>
  </si>
  <si>
    <t>032103000</t>
  </si>
  <si>
    <t>89651</t>
  </si>
  <si>
    <t>Flagstaff Cooperative Preschool</t>
  </si>
  <si>
    <t>10684</t>
  </si>
  <si>
    <t>Flagstaff Cooperative Nursury</t>
  </si>
  <si>
    <t>850 N. Bonito Ave</t>
  </si>
  <si>
    <t>860011580</t>
  </si>
  <si>
    <t>4207</t>
  </si>
  <si>
    <t>10211</t>
  </si>
  <si>
    <t>FLAGSTAFF JR ACADEMY INC</t>
  </si>
  <si>
    <t>306 West Cedar Ave</t>
  </si>
  <si>
    <t>860011413</t>
  </si>
  <si>
    <t>619903032</t>
  </si>
  <si>
    <t>K87LTFNHX5Q5</t>
  </si>
  <si>
    <t>4205</t>
  </si>
  <si>
    <t>10845</t>
  </si>
  <si>
    <t>Flagstaff Montessori</t>
  </si>
  <si>
    <t>850 N Locust DR.</t>
  </si>
  <si>
    <t>860013343</t>
  </si>
  <si>
    <t>117672031</t>
  </si>
  <si>
    <t>QFXMDJ24J9N7</t>
  </si>
  <si>
    <t>4192</t>
  </si>
  <si>
    <t>11173</t>
  </si>
  <si>
    <t>Flagstaff Unified School District</t>
  </si>
  <si>
    <t>3285 E SPARROW AVE</t>
  </si>
  <si>
    <t>86004</t>
  </si>
  <si>
    <t>094527165</t>
  </si>
  <si>
    <t>TE3UETKNFWU9</t>
  </si>
  <si>
    <t>4437</t>
  </si>
  <si>
    <t>11467</t>
  </si>
  <si>
    <t>Florence Unif School District 1</t>
  </si>
  <si>
    <t>1000 S. Main ST</t>
  </si>
  <si>
    <t>Florence</t>
  </si>
  <si>
    <t>851328132</t>
  </si>
  <si>
    <t>956883862</t>
  </si>
  <si>
    <t>VDY3EF6C8XW3</t>
  </si>
  <si>
    <t>4405</t>
  </si>
  <si>
    <t>11429</t>
  </si>
  <si>
    <t>Flowing Wells Unified SD #8</t>
  </si>
  <si>
    <t>1556 W Prince Rd</t>
  </si>
  <si>
    <t>85705-3024</t>
  </si>
  <si>
    <t>002902559</t>
  </si>
  <si>
    <t>J2H6MA99NZ33</t>
  </si>
  <si>
    <t>079498000</t>
  </si>
  <si>
    <t>92974</t>
  </si>
  <si>
    <t>Focus Education Services, Inc.</t>
  </si>
  <si>
    <t>465 N Bluejay Dr</t>
  </si>
  <si>
    <t>GILBERT</t>
  </si>
  <si>
    <t>852347653</t>
  </si>
  <si>
    <t>078628000</t>
  </si>
  <si>
    <t>4309</t>
  </si>
  <si>
    <t>Foothills Academy</t>
  </si>
  <si>
    <t>10131</t>
  </si>
  <si>
    <t>Foothills Academy Inc</t>
  </si>
  <si>
    <t>7191 E Ashler Hills Dr</t>
  </si>
  <si>
    <t>852669300</t>
  </si>
  <si>
    <t>808910202</t>
  </si>
  <si>
    <t>073116000</t>
  </si>
  <si>
    <t>9173</t>
  </si>
  <si>
    <t>For Children Inc. Dba Children's Campus</t>
  </si>
  <si>
    <t>2830 N 43RD AVE</t>
  </si>
  <si>
    <t>850091017</t>
  </si>
  <si>
    <t>020381000</t>
  </si>
  <si>
    <t>Forrest Elementary District</t>
  </si>
  <si>
    <t>4167</t>
  </si>
  <si>
    <t>11129</t>
  </si>
  <si>
    <t>Fort Huachuca Accommodation School District</t>
  </si>
  <si>
    <t>21110 Hines Road</t>
  </si>
  <si>
    <t>Fort Huachuca</t>
  </si>
  <si>
    <t>85613</t>
  </si>
  <si>
    <t>100001437</t>
  </si>
  <si>
    <t>TMN6UW74NS44</t>
  </si>
  <si>
    <t>4221</t>
  </si>
  <si>
    <t>11213</t>
  </si>
  <si>
    <t>Fort Thomas Unified School District #7</t>
  </si>
  <si>
    <t>15560 W Elementary School Rd</t>
  </si>
  <si>
    <t>Fort Thomas</t>
  </si>
  <si>
    <t>855360300</t>
  </si>
  <si>
    <t>100001445</t>
  </si>
  <si>
    <t>GA3NV8ZLUAK3</t>
  </si>
  <si>
    <t>098750000</t>
  </si>
  <si>
    <t>79973</t>
  </si>
  <si>
    <t>Founding Fathers Academies, Inc</t>
  </si>
  <si>
    <t>10409</t>
  </si>
  <si>
    <t>40 S 11TH ST</t>
  </si>
  <si>
    <t>SHOW LOW</t>
  </si>
  <si>
    <t>859016001</t>
  </si>
  <si>
    <t>111733692</t>
  </si>
  <si>
    <t>078755000</t>
  </si>
  <si>
    <t>4356</t>
  </si>
  <si>
    <t>Fountain Hills Charter School</t>
  </si>
  <si>
    <t>10221</t>
  </si>
  <si>
    <t>Fountain Hills Charter School, Inc.</t>
  </si>
  <si>
    <t>16811 E EL PUEBLO BLVD</t>
  </si>
  <si>
    <t>FOUNTAIN HILLS</t>
  </si>
  <si>
    <t>852682584</t>
  </si>
  <si>
    <t>089878966</t>
  </si>
  <si>
    <t>4247</t>
  </si>
  <si>
    <t>11271</t>
  </si>
  <si>
    <t>Fountain Hills Unified School District</t>
  </si>
  <si>
    <t>16000 E. Palisades BLVD.</t>
  </si>
  <si>
    <t>Fountain Hills</t>
  </si>
  <si>
    <t>85268-3131</t>
  </si>
  <si>
    <t>619845241</t>
  </si>
  <si>
    <t>T8L3L1N4MM66</t>
  </si>
  <si>
    <t>4273</t>
  </si>
  <si>
    <t>11273</t>
  </si>
  <si>
    <t>Fowler Elementary School District No. 45</t>
  </si>
  <si>
    <t>1617 S 67th Avenue</t>
  </si>
  <si>
    <t>850437717</t>
  </si>
  <si>
    <t>133151667</t>
  </si>
  <si>
    <t>SE9CJYAMWC94</t>
  </si>
  <si>
    <t>078910000</t>
  </si>
  <si>
    <t>Franklin Arts Academies</t>
  </si>
  <si>
    <t>078506000</t>
  </si>
  <si>
    <t>Franklin High School</t>
  </si>
  <si>
    <t>92596</t>
  </si>
  <si>
    <t>10618</t>
  </si>
  <si>
    <t>Franklin Phonetic Primary School, Inc</t>
  </si>
  <si>
    <t>9317 N 2nd St</t>
  </si>
  <si>
    <t>85020-2441</t>
  </si>
  <si>
    <t>028148253</t>
  </si>
  <si>
    <t>LLR3VWZTQYC9</t>
  </si>
  <si>
    <t>4495</t>
  </si>
  <si>
    <t>10229</t>
  </si>
  <si>
    <t>6116 E Highway 69</t>
  </si>
  <si>
    <t>86314-2804</t>
  </si>
  <si>
    <t>961355096</t>
  </si>
  <si>
    <t>KEG7NG4TZ355</t>
  </si>
  <si>
    <t>4195</t>
  </si>
  <si>
    <t>11175</t>
  </si>
  <si>
    <t>Fredonia Moccasin School District 6</t>
  </si>
  <si>
    <t>221 E Hortt St</t>
  </si>
  <si>
    <t>Fredonia</t>
  </si>
  <si>
    <t>86022</t>
  </si>
  <si>
    <t>100642388</t>
  </si>
  <si>
    <t>FCLTEW55EKQ7</t>
  </si>
  <si>
    <t>89506</t>
  </si>
  <si>
    <t>10283</t>
  </si>
  <si>
    <t>Freedom Academy, Inc</t>
  </si>
  <si>
    <t>3916 E Paradise Ln</t>
  </si>
  <si>
    <t>850323232</t>
  </si>
  <si>
    <t>143132673</t>
  </si>
  <si>
    <t>NUY5KS3ZCM48</t>
  </si>
  <si>
    <t>1000979</t>
  </si>
  <si>
    <t>10783</t>
  </si>
  <si>
    <t>Freedom Prep Academy-Mesa</t>
  </si>
  <si>
    <t>465 N. Bluejay Drive</t>
  </si>
  <si>
    <t>85284-7653</t>
  </si>
  <si>
    <t>117199702</t>
  </si>
  <si>
    <t>CERASHBFUFJ3</t>
  </si>
  <si>
    <t>071699005</t>
  </si>
  <si>
    <t>8628</t>
  </si>
  <si>
    <t>Friendly House</t>
  </si>
  <si>
    <t>14709</t>
  </si>
  <si>
    <t>113 W. Sherman St.</t>
  </si>
  <si>
    <t>85003-2532</t>
  </si>
  <si>
    <t>114438161</t>
  </si>
  <si>
    <t>K7ZUGB5RLNN3</t>
  </si>
  <si>
    <t>4303</t>
  </si>
  <si>
    <t>10228</t>
  </si>
  <si>
    <t>Friendly House, Inc</t>
  </si>
  <si>
    <t>113 W Sherman St</t>
  </si>
  <si>
    <t>073318000</t>
  </si>
  <si>
    <t>92723</t>
  </si>
  <si>
    <t>Fusion Minds LLC</t>
  </si>
  <si>
    <t>15760</t>
  </si>
  <si>
    <t>1620 W CAMELBACK RD</t>
  </si>
  <si>
    <t>850153514</t>
  </si>
  <si>
    <t>078756000</t>
  </si>
  <si>
    <t>Future Development Education &amp; Performing Arts Academy</t>
  </si>
  <si>
    <t>10225</t>
  </si>
  <si>
    <t>4505</t>
  </si>
  <si>
    <t>11567</t>
  </si>
  <si>
    <t>Gadsden Elementary School District #32</t>
  </si>
  <si>
    <t>1350 E. Juan Sanchez Blvd.</t>
  </si>
  <si>
    <t>853496802</t>
  </si>
  <si>
    <t>100001452</t>
  </si>
  <si>
    <t>WPK7HED7E1Z8</t>
  </si>
  <si>
    <t>078996000</t>
  </si>
  <si>
    <t>Gan Yeladeem:  The Looking Glass School</t>
  </si>
  <si>
    <t>4157</t>
  </si>
  <si>
    <t>11111</t>
  </si>
  <si>
    <t>Ganado Unified School District #20</t>
  </si>
  <si>
    <t>HWY 264</t>
  </si>
  <si>
    <t>Ganado</t>
  </si>
  <si>
    <t>865051757</t>
  </si>
  <si>
    <t>795129774</t>
  </si>
  <si>
    <t>RYBGWRZ7MC53</t>
  </si>
  <si>
    <t>102707000</t>
  </si>
  <si>
    <t>85892</t>
  </si>
  <si>
    <t>Gap Ministries</t>
  </si>
  <si>
    <t>14571</t>
  </si>
  <si>
    <t>2861 N. Flowing wells RD STE 161</t>
  </si>
  <si>
    <t>Az.</t>
  </si>
  <si>
    <t>857059397</t>
  </si>
  <si>
    <t>6022312725</t>
  </si>
  <si>
    <t>DP2HKNP4L6G4</t>
  </si>
  <si>
    <t>078679000</t>
  </si>
  <si>
    <t>78997</t>
  </si>
  <si>
    <t>GAR, LLC dba Student Choice High School</t>
  </si>
  <si>
    <t>10168</t>
  </si>
  <si>
    <t>1833 N SCOTTSDALE RD</t>
  </si>
  <si>
    <t>852811563</t>
  </si>
  <si>
    <t>020918418</t>
  </si>
  <si>
    <t>6372</t>
  </si>
  <si>
    <t>10248</t>
  </si>
  <si>
    <t>GEM Charter School, Inc.</t>
  </si>
  <si>
    <t>1704 N. Center St.</t>
  </si>
  <si>
    <t>852012223</t>
  </si>
  <si>
    <t>800742061</t>
  </si>
  <si>
    <t>JNKEM5NRNBH5</t>
  </si>
  <si>
    <t>4332</t>
  </si>
  <si>
    <t>10233</t>
  </si>
  <si>
    <t>525 E McDowell Rd</t>
  </si>
  <si>
    <t>85004-1537</t>
  </si>
  <si>
    <t>003790719</t>
  </si>
  <si>
    <t>HJERKRSYMPA1</t>
  </si>
  <si>
    <t>90884</t>
  </si>
  <si>
    <t>10120</t>
  </si>
  <si>
    <t>George Gervin Youth Center Inc</t>
  </si>
  <si>
    <t>6944 Sunbelt DR S</t>
  </si>
  <si>
    <t>San Antonio</t>
  </si>
  <si>
    <t>Texas</t>
  </si>
  <si>
    <t>782183335</t>
  </si>
  <si>
    <t>931644900</t>
  </si>
  <si>
    <t>PAEJCHJAMLU5</t>
  </si>
  <si>
    <t>4238</t>
  </si>
  <si>
    <t>11275</t>
  </si>
  <si>
    <t>Gila Bend Unified District School District</t>
  </si>
  <si>
    <t>777 N. Logan Ave</t>
  </si>
  <si>
    <t>Gila Bend</t>
  </si>
  <si>
    <t>853370420</t>
  </si>
  <si>
    <t>100001478</t>
  </si>
  <si>
    <t>ZZVSE4D394J9</t>
  </si>
  <si>
    <t>049999001</t>
  </si>
  <si>
    <t>6782</t>
  </si>
  <si>
    <t>Gila County Education Service Agency</t>
  </si>
  <si>
    <t>13181</t>
  </si>
  <si>
    <t>1400 E Ash Street</t>
  </si>
  <si>
    <t>85501-1512</t>
  </si>
  <si>
    <t>940062722</t>
  </si>
  <si>
    <t>N3AKPSDLUG78</t>
  </si>
  <si>
    <t>211014000</t>
  </si>
  <si>
    <t>79494</t>
  </si>
  <si>
    <t>Gila County Juvenile Detention</t>
  </si>
  <si>
    <t>13209</t>
  </si>
  <si>
    <t>87600</t>
  </si>
  <si>
    <t>11207</t>
  </si>
  <si>
    <t>GILA COUNTY REGIONAL SCHOOL DISTRICT</t>
  </si>
  <si>
    <t>784130291</t>
  </si>
  <si>
    <t>K2P3YL7Z2W13</t>
  </si>
  <si>
    <t>79544</t>
  </si>
  <si>
    <t>10805</t>
  </si>
  <si>
    <t>GILA COUNTY, AZ</t>
  </si>
  <si>
    <t>074462102</t>
  </si>
  <si>
    <t>040199000</t>
  </si>
  <si>
    <t>79197</t>
  </si>
  <si>
    <t>Gila County Special Services</t>
  </si>
  <si>
    <t>073901000</t>
  </si>
  <si>
    <t>80406</t>
  </si>
  <si>
    <t>Gila Crossing Community School</t>
  </si>
  <si>
    <t>14719</t>
  </si>
  <si>
    <t>Education, Arizona Department of</t>
  </si>
  <si>
    <t>4665 W Pecos Road</t>
  </si>
  <si>
    <t>853399711</t>
  </si>
  <si>
    <t>159418268</t>
  </si>
  <si>
    <t>Y4UQH8XJ5B21</t>
  </si>
  <si>
    <t>058701000</t>
  </si>
  <si>
    <t>79992</t>
  </si>
  <si>
    <t>Gila Educational Group dba Gila Preparatory Academy</t>
  </si>
  <si>
    <t>10450</t>
  </si>
  <si>
    <t>050802000</t>
  </si>
  <si>
    <t>79387</t>
  </si>
  <si>
    <t>Gila Institute for Technology</t>
  </si>
  <si>
    <t>11209</t>
  </si>
  <si>
    <t>3998 W Ball Park Street</t>
  </si>
  <si>
    <t>85552-5188</t>
  </si>
  <si>
    <t>041037818</t>
  </si>
  <si>
    <t>EMPRCYUDFXH6</t>
  </si>
  <si>
    <t>042899001</t>
  </si>
  <si>
    <t>8595</t>
  </si>
  <si>
    <t>Gila Literacy Program</t>
  </si>
  <si>
    <t>4239</t>
  </si>
  <si>
    <t>11277</t>
  </si>
  <si>
    <t>Gilbert Unified School District</t>
  </si>
  <si>
    <t>140 S. Gilbert Road</t>
  </si>
  <si>
    <t>85296-1016</t>
  </si>
  <si>
    <t>093656569</t>
  </si>
  <si>
    <t>KECWJMSLJEA5</t>
  </si>
  <si>
    <t>1001519</t>
  </si>
  <si>
    <t>10808</t>
  </si>
  <si>
    <t>835 Newburn Rd.</t>
  </si>
  <si>
    <t>86040</t>
  </si>
  <si>
    <t>117172695</t>
  </si>
  <si>
    <t>WRVCJA18EN23</t>
  </si>
  <si>
    <t>4271</t>
  </si>
  <si>
    <t>11279</t>
  </si>
  <si>
    <t>Glendale Elementary School District</t>
  </si>
  <si>
    <t>7301 N. 58th Ave</t>
  </si>
  <si>
    <t>853011893</t>
  </si>
  <si>
    <t>122800238</t>
  </si>
  <si>
    <t>HK2MBQAZNAR2</t>
  </si>
  <si>
    <t>89829</t>
  </si>
  <si>
    <t>10471</t>
  </si>
  <si>
    <t>802852629</t>
  </si>
  <si>
    <t>TAU5MNKZSPN5</t>
  </si>
  <si>
    <t>4285</t>
  </si>
  <si>
    <t>11281</t>
  </si>
  <si>
    <t>7650 N 43RD AVE</t>
  </si>
  <si>
    <t>853011661</t>
  </si>
  <si>
    <t>097115539</t>
  </si>
  <si>
    <t>LHKDPA3LHNM8</t>
  </si>
  <si>
    <t>108721000</t>
  </si>
  <si>
    <t>6354</t>
  </si>
  <si>
    <t>Global Education Foundation</t>
  </si>
  <si>
    <t>073317000</t>
  </si>
  <si>
    <t>92719</t>
  </si>
  <si>
    <t>Global Keys to Knowledge Corporation</t>
  </si>
  <si>
    <t>15753</t>
  </si>
  <si>
    <t>3450 E VAN BUREN ST</t>
  </si>
  <si>
    <t>850086815</t>
  </si>
  <si>
    <t>078663000</t>
  </si>
  <si>
    <t>4324</t>
  </si>
  <si>
    <t>Global Renaissance Academy of Distinguished Education</t>
  </si>
  <si>
    <t>10234</t>
  </si>
  <si>
    <t>5301 S MCCLINTOCK DR</t>
  </si>
  <si>
    <t>852832234</t>
  </si>
  <si>
    <t>946842452</t>
  </si>
  <si>
    <t>4208</t>
  </si>
  <si>
    <t>11191</t>
  </si>
  <si>
    <t>GLOBE UNIFIED SCHOOL DISTRICT</t>
  </si>
  <si>
    <t>460 N Willow ST</t>
  </si>
  <si>
    <t>855012589</t>
  </si>
  <si>
    <t>002900983</t>
  </si>
  <si>
    <t>NN1SZL9D48M9</t>
  </si>
  <si>
    <t>080208830</t>
  </si>
  <si>
    <t>Goldfield Preparatory Charter School</t>
  </si>
  <si>
    <t>211015000</t>
  </si>
  <si>
    <t>79539</t>
  </si>
  <si>
    <t>Graham County Juvenile Detention</t>
  </si>
  <si>
    <t>13225</t>
  </si>
  <si>
    <t>Graham County of Court House</t>
  </si>
  <si>
    <t>921 Thatcher Blvd</t>
  </si>
  <si>
    <t>Safford</t>
  </si>
  <si>
    <t>855463133</t>
  </si>
  <si>
    <t>074493388</t>
  </si>
  <si>
    <t>79543</t>
  </si>
  <si>
    <t>Graham, County of</t>
  </si>
  <si>
    <t>AZ - Arizona</t>
  </si>
  <si>
    <t>NUU1FSZDY653</t>
  </si>
  <si>
    <t>059999001</t>
  </si>
  <si>
    <t>79189</t>
  </si>
  <si>
    <t>13189</t>
  </si>
  <si>
    <t>050199000</t>
  </si>
  <si>
    <t>4217</t>
  </si>
  <si>
    <t>Graham County Special Services</t>
  </si>
  <si>
    <t>13185</t>
  </si>
  <si>
    <t>Dan Hinton School</t>
  </si>
  <si>
    <t>150 E 400 S</t>
  </si>
  <si>
    <t>855439662</t>
  </si>
  <si>
    <t>967803974</t>
  </si>
  <si>
    <t>C258XMRDM283</t>
  </si>
  <si>
    <t>051899001</t>
  </si>
  <si>
    <t>8597</t>
  </si>
  <si>
    <t>4194</t>
  </si>
  <si>
    <t>11177</t>
  </si>
  <si>
    <t>Grand Canyon Unified School District 4</t>
  </si>
  <si>
    <t>100 Boulder Street</t>
  </si>
  <si>
    <t>Grand Canyon</t>
  </si>
  <si>
    <t>86023</t>
  </si>
  <si>
    <t>149091316</t>
  </si>
  <si>
    <t>CZFBSA1JCGB3</t>
  </si>
  <si>
    <t>070707000</t>
  </si>
  <si>
    <t>84698</t>
  </si>
  <si>
    <t>Grand Canyon University</t>
  </si>
  <si>
    <t>16141</t>
  </si>
  <si>
    <t>3300 W CAMELBACK RD</t>
  </si>
  <si>
    <t>850173030</t>
  </si>
  <si>
    <t>074450750</t>
  </si>
  <si>
    <t>078257000</t>
  </si>
  <si>
    <t>92408</t>
  </si>
  <si>
    <t>Grandview Associates, Inc. dba Sierra Preparatory Academy</t>
  </si>
  <si>
    <t>10594</t>
  </si>
  <si>
    <t>9307 E Grandview St</t>
  </si>
  <si>
    <t>852074320</t>
  </si>
  <si>
    <t>118709000</t>
  </si>
  <si>
    <t>90894</t>
  </si>
  <si>
    <t>Graysmark Schools Corporation</t>
  </si>
  <si>
    <t>10305</t>
  </si>
  <si>
    <t>44400 W Honeycutt Road #105</t>
  </si>
  <si>
    <t>851382945</t>
  </si>
  <si>
    <t>795406722</t>
  </si>
  <si>
    <t>094001000</t>
  </si>
  <si>
    <t>9691</t>
  </si>
  <si>
    <t>Greasewood Springs Community School, Inc.</t>
  </si>
  <si>
    <t>HWY 15 GREASEWOOD</t>
  </si>
  <si>
    <t>GANADO</t>
  </si>
  <si>
    <t>865059706</t>
  </si>
  <si>
    <t>111339750</t>
  </si>
  <si>
    <t>10974</t>
  </si>
  <si>
    <t>10209</t>
  </si>
  <si>
    <t>Great Expectations Academy Inc</t>
  </si>
  <si>
    <t>1466 W Camino Antigua</t>
  </si>
  <si>
    <t>Sahuarita</t>
  </si>
  <si>
    <t>856299720</t>
  </si>
  <si>
    <t>126911861</t>
  </si>
  <si>
    <t>NP4CLKNUULL3</t>
  </si>
  <si>
    <t>078593000</t>
  </si>
  <si>
    <t>90903</t>
  </si>
  <si>
    <t>Greenhouse Montessori School, Inc.</t>
  </si>
  <si>
    <t>10549</t>
  </si>
  <si>
    <t>838609886</t>
  </si>
  <si>
    <t>060100000</t>
  </si>
  <si>
    <t>4226</t>
  </si>
  <si>
    <t>Greenlee Alternative School District</t>
  </si>
  <si>
    <t>060199000</t>
  </si>
  <si>
    <t>4227</t>
  </si>
  <si>
    <t>Greenlee County Accommodation District</t>
  </si>
  <si>
    <t>069999001</t>
  </si>
  <si>
    <t>6819</t>
  </si>
  <si>
    <t>Greenlee County School Superintendent</t>
  </si>
  <si>
    <t>13197</t>
  </si>
  <si>
    <t>066006000</t>
  </si>
  <si>
    <t>79542</t>
  </si>
  <si>
    <t>Greenlee County Sheriffs Office</t>
  </si>
  <si>
    <t>211016000</t>
  </si>
  <si>
    <t>Greenlee Juvenile Detention Center</t>
  </si>
  <si>
    <t>033903000</t>
  </si>
  <si>
    <t>79793</t>
  </si>
  <si>
    <t>Greyhills Academy</t>
  </si>
  <si>
    <t>14741</t>
  </si>
  <si>
    <t>Indian Affairs, Bureau of DBA  Greyhills Academy  High School</t>
  </si>
  <si>
    <t>Warrior Drive</t>
  </si>
  <si>
    <t>Tuba City</t>
  </si>
  <si>
    <t>860459997</t>
  </si>
  <si>
    <t>184121291</t>
  </si>
  <si>
    <t>79500</t>
  </si>
  <si>
    <t>10476</t>
  </si>
  <si>
    <t>Griffin Foundation</t>
  </si>
  <si>
    <t>1844 S. Alvernon Way</t>
  </si>
  <si>
    <t>85711-5607</t>
  </si>
  <si>
    <t>939975587</t>
  </si>
  <si>
    <t>M5YXTL74BDG5</t>
  </si>
  <si>
    <t>102273000</t>
  </si>
  <si>
    <t>92881</t>
  </si>
  <si>
    <t>Growing Steps Childcare and Learning Center</t>
  </si>
  <si>
    <t>15787</t>
  </si>
  <si>
    <t>Maya &amp; Brothers LLC</t>
  </si>
  <si>
    <t>2121 S. San Jose Dr</t>
  </si>
  <si>
    <t>857132664</t>
  </si>
  <si>
    <t>140591459</t>
  </si>
  <si>
    <t>073367000</t>
  </si>
  <si>
    <t>1001128</t>
  </si>
  <si>
    <t>GTG8 LLC</t>
  </si>
  <si>
    <t>4494 W PEORIA AVE STE 120</t>
  </si>
  <si>
    <t>853022025</t>
  </si>
  <si>
    <t>6369</t>
  </si>
  <si>
    <t>10245</t>
  </si>
  <si>
    <t>HA:SAN EDUCATIONAL SERVICES INC.</t>
  </si>
  <si>
    <t>1333 E 10th St</t>
  </si>
  <si>
    <t>857195808</t>
  </si>
  <si>
    <t>603204327</t>
  </si>
  <si>
    <t>XY12DMP29WL3</t>
  </si>
  <si>
    <t>108730000</t>
  </si>
  <si>
    <t>4371</t>
  </si>
  <si>
    <t>11369</t>
  </si>
  <si>
    <t>Hackberry School District 3</t>
  </si>
  <si>
    <t>9501 E Nellie Dr.</t>
  </si>
  <si>
    <t>864018917</t>
  </si>
  <si>
    <t>109732912</t>
  </si>
  <si>
    <t>J9KWJSYFQJ26</t>
  </si>
  <si>
    <t>073321000</t>
  </si>
  <si>
    <t>92784</t>
  </si>
  <si>
    <t>Happy Kids Child Care Center, LLC</t>
  </si>
  <si>
    <t>15580</t>
  </si>
  <si>
    <t>Happy Kids Child Care Center LLC</t>
  </si>
  <si>
    <t>3523 N 43rd Ave</t>
  </si>
  <si>
    <t>850312902</t>
  </si>
  <si>
    <t>080442332</t>
  </si>
  <si>
    <t>90906</t>
  </si>
  <si>
    <t>10579</t>
  </si>
  <si>
    <t>080247818</t>
  </si>
  <si>
    <t>YB4XFKK8A5K8</t>
  </si>
  <si>
    <t>79081</t>
  </si>
  <si>
    <t>10361</t>
  </si>
  <si>
    <t>7140 W Happy Valley Rd</t>
  </si>
  <si>
    <t>853833255</t>
  </si>
  <si>
    <t>008043882</t>
  </si>
  <si>
    <t>UNZGKZMH8G61</t>
  </si>
  <si>
    <t>143400000</t>
  </si>
  <si>
    <t>1002095</t>
  </si>
  <si>
    <t>Haro LLC</t>
  </si>
  <si>
    <t>10852</t>
  </si>
  <si>
    <t>HARO LLC</t>
  </si>
  <si>
    <t>833 S 2nd Ave</t>
  </si>
  <si>
    <t>79501</t>
  </si>
  <si>
    <t>10477</t>
  </si>
  <si>
    <t>Harvest Power Community Development Group</t>
  </si>
  <si>
    <t>350 E 18th St</t>
  </si>
  <si>
    <t>85364-5723</t>
  </si>
  <si>
    <t>007687770</t>
  </si>
  <si>
    <t>XR7KRJABAAD8</t>
  </si>
  <si>
    <t>89951</t>
  </si>
  <si>
    <t>10153</t>
  </si>
  <si>
    <t>621 W Clay Ave</t>
  </si>
  <si>
    <t>860016221</t>
  </si>
  <si>
    <t>175014641</t>
  </si>
  <si>
    <t>MN13N1EE2PZ9</t>
  </si>
  <si>
    <t>4212</t>
  </si>
  <si>
    <t>11193</t>
  </si>
  <si>
    <t>Hayden-Winkelman Unified School District</t>
  </si>
  <si>
    <t>824 N Thorne AVE</t>
  </si>
  <si>
    <t>Winkelman</t>
  </si>
  <si>
    <t>851920086</t>
  </si>
  <si>
    <t>125715136</t>
  </si>
  <si>
    <t>VJ4KJEDF1563</t>
  </si>
  <si>
    <t>1002010</t>
  </si>
  <si>
    <t>10841</t>
  </si>
  <si>
    <t>Heartwood AZ</t>
  </si>
  <si>
    <t>207 N Mesa</t>
  </si>
  <si>
    <t>HVTBRV2L7MU3</t>
  </si>
  <si>
    <t>4392</t>
  </si>
  <si>
    <t>11391</t>
  </si>
  <si>
    <t>HEBER-OVERGAARD UNIFIED SCHOOL DISTRICT</t>
  </si>
  <si>
    <t>3375 BUCKSKIN CANYON RD</t>
  </si>
  <si>
    <t>HEBER</t>
  </si>
  <si>
    <t>859280547</t>
  </si>
  <si>
    <t>183868926</t>
  </si>
  <si>
    <t>FJJNXDG3Y9X5</t>
  </si>
  <si>
    <t>92519</t>
  </si>
  <si>
    <t>15796</t>
  </si>
  <si>
    <t>Heritage Academy Queen Creek, Inc   dba  Heritage Academy Gateway</t>
  </si>
  <si>
    <t>19705 E. Germann Rd</t>
  </si>
  <si>
    <t>85142-9338</t>
  </si>
  <si>
    <t>081086982</t>
  </si>
  <si>
    <t>U9M7MM2WTJK3</t>
  </si>
  <si>
    <t>92520</t>
  </si>
  <si>
    <t>10524</t>
  </si>
  <si>
    <t>4275 W Baseline RD</t>
  </si>
  <si>
    <t>85339-1880</t>
  </si>
  <si>
    <t>079246019</t>
  </si>
  <si>
    <t>CAH6Q884LVX5</t>
  </si>
  <si>
    <t>4336</t>
  </si>
  <si>
    <t>10138</t>
  </si>
  <si>
    <t>32 S Center ST</t>
  </si>
  <si>
    <t>85210-1306</t>
  </si>
  <si>
    <t>933018038</t>
  </si>
  <si>
    <t>VFMCD7WANWM9</t>
  </si>
  <si>
    <t>81076</t>
  </si>
  <si>
    <t>10521</t>
  </si>
  <si>
    <t>LIBERTY TRADITIONAL CHARTER SCHOOL INC</t>
  </si>
  <si>
    <t>6805 N 125TH AVE</t>
  </si>
  <si>
    <t>85307-2402</t>
  </si>
  <si>
    <t>832105303</t>
  </si>
  <si>
    <t>LM1BJV9EJVX9</t>
  </si>
  <si>
    <t>078512000</t>
  </si>
  <si>
    <t>Heritage Montessori Charter School Inc</t>
  </si>
  <si>
    <t>4426</t>
  </si>
  <si>
    <t>10237</t>
  </si>
  <si>
    <t>Hermosa Montessori School</t>
  </si>
  <si>
    <t>12051 E Fort Lowell RD</t>
  </si>
  <si>
    <t>857499702</t>
  </si>
  <si>
    <t>148874845</t>
  </si>
  <si>
    <t>CZJQRNL4MYW3</t>
  </si>
  <si>
    <t>142211000</t>
  </si>
  <si>
    <t>92803</t>
  </si>
  <si>
    <t>Hi Kids Childcare Group Home</t>
  </si>
  <si>
    <t>15780</t>
  </si>
  <si>
    <t>P.O. Box 2471</t>
  </si>
  <si>
    <t>853492471</t>
  </si>
  <si>
    <t>080208785</t>
  </si>
  <si>
    <t>High Achievement Corp.</t>
  </si>
  <si>
    <t>79061</t>
  </si>
  <si>
    <t>10358</t>
  </si>
  <si>
    <t>Highland Free School Fund, Inc</t>
  </si>
  <si>
    <t>510 South Highland Avenue</t>
  </si>
  <si>
    <t>85719-6427</t>
  </si>
  <si>
    <t>100914290</t>
  </si>
  <si>
    <t>L8UKNK18QBX6</t>
  </si>
  <si>
    <t>92982</t>
  </si>
  <si>
    <t>10637</t>
  </si>
  <si>
    <t>15600 W Hearn Road</t>
  </si>
  <si>
    <t>85379-5172</t>
  </si>
  <si>
    <t>079970256</t>
  </si>
  <si>
    <t>KFBNM94MP353</t>
  </si>
  <si>
    <t>4248</t>
  </si>
  <si>
    <t>11283</t>
  </si>
  <si>
    <t>2935 S Recker Rd</t>
  </si>
  <si>
    <t>852957846</t>
  </si>
  <si>
    <t>100001544</t>
  </si>
  <si>
    <t>NC5CF1GYY621</t>
  </si>
  <si>
    <t>078704000</t>
  </si>
  <si>
    <t>4328</t>
  </si>
  <si>
    <t>Hillcrest Academy, Inc.</t>
  </si>
  <si>
    <t>10111</t>
  </si>
  <si>
    <t>4710 E Baseline Rd</t>
  </si>
  <si>
    <t>852064602</t>
  </si>
  <si>
    <t>004595223</t>
  </si>
  <si>
    <t>4482</t>
  </si>
  <si>
    <t>11531</t>
  </si>
  <si>
    <t>Hillside School District 35</t>
  </si>
  <si>
    <t>Hc 1 Box 3056</t>
  </si>
  <si>
    <t>86321-9705</t>
  </si>
  <si>
    <t>784712080</t>
  </si>
  <si>
    <t>L5Z8GXF6FNL7</t>
  </si>
  <si>
    <t>91275</t>
  </si>
  <si>
    <t>10581</t>
  </si>
  <si>
    <t>Hirsch Academy A Challenge Foundation Academy Inc</t>
  </si>
  <si>
    <t>6535 E OSBORN RD STE 401</t>
  </si>
  <si>
    <t>852516028</t>
  </si>
  <si>
    <t>969138853</t>
  </si>
  <si>
    <t>WR93NMCH2UB3</t>
  </si>
  <si>
    <t>4389</t>
  </si>
  <si>
    <t>11393</t>
  </si>
  <si>
    <t>Holbrook School District 3</t>
  </si>
  <si>
    <t>1000 N 8th Ave</t>
  </si>
  <si>
    <t>Holbrook</t>
  </si>
  <si>
    <t>86025-0640</t>
  </si>
  <si>
    <t>074469644</t>
  </si>
  <si>
    <t>R2AMYB5LKG65</t>
  </si>
  <si>
    <t>073541000</t>
  </si>
  <si>
    <t>88410</t>
  </si>
  <si>
    <t>Homeward Bound</t>
  </si>
  <si>
    <t>14229</t>
  </si>
  <si>
    <t>2302 W Colter St Ofc</t>
  </si>
  <si>
    <t>850152751</t>
  </si>
  <si>
    <t>833203730</t>
  </si>
  <si>
    <t>078281000</t>
  </si>
  <si>
    <t>92991</t>
  </si>
  <si>
    <t>Hope College and Career Readiness Academy</t>
  </si>
  <si>
    <t>10656</t>
  </si>
  <si>
    <t>6900 S 24th St</t>
  </si>
  <si>
    <t>850425800</t>
  </si>
  <si>
    <t>080090924</t>
  </si>
  <si>
    <t>098650000</t>
  </si>
  <si>
    <t>Hopi Jr/Sr High School</t>
  </si>
  <si>
    <t>92620</t>
  </si>
  <si>
    <t>10719</t>
  </si>
  <si>
    <t>Horizon Community Learning Center</t>
  </si>
  <si>
    <t>16233 S 48th St</t>
  </si>
  <si>
    <t>850480801</t>
  </si>
  <si>
    <t>967825175</t>
  </si>
  <si>
    <t>VBSJN8J4V2Y7</t>
  </si>
  <si>
    <t>79264</t>
  </si>
  <si>
    <t>10720</t>
  </si>
  <si>
    <t>078732000</t>
  </si>
  <si>
    <t>Horizons Challenge School</t>
  </si>
  <si>
    <t>099106000</t>
  </si>
  <si>
    <t>88453</t>
  </si>
  <si>
    <t>Hotevilla Bacavi Community School</t>
  </si>
  <si>
    <t>090225710</t>
  </si>
  <si>
    <t>Hotevilla-Bacavi Community School</t>
  </si>
  <si>
    <t>138704000</t>
  </si>
  <si>
    <t>Humanistic Education Authentic Rigorous Transcendent</t>
  </si>
  <si>
    <t>078713000</t>
  </si>
  <si>
    <t>4337</t>
  </si>
  <si>
    <t>Humanities and Sciences Academy of the United States, Inc.</t>
  </si>
  <si>
    <t>10240</t>
  </si>
  <si>
    <t>4469</t>
  </si>
  <si>
    <t>11533</t>
  </si>
  <si>
    <t>County of Yavapai HUMBOLDT UNIFIED SCHOOL DISTRICT 22</t>
  </si>
  <si>
    <t>6411 N. Robert Rd BLDG 100</t>
  </si>
  <si>
    <t>863149146</t>
  </si>
  <si>
    <t>002903201</t>
  </si>
  <si>
    <t>QEC1W7F1MGG6</t>
  </si>
  <si>
    <t>014006000</t>
  </si>
  <si>
    <t>80370</t>
  </si>
  <si>
    <t>Hunters Point Boarding School</t>
  </si>
  <si>
    <t>Navajo Rte 12 S Lupton Rd</t>
  </si>
  <si>
    <t>Saint Michaels</t>
  </si>
  <si>
    <t>865110099</t>
  </si>
  <si>
    <t>962981820</t>
  </si>
  <si>
    <t>4502</t>
  </si>
  <si>
    <t>11569</t>
  </si>
  <si>
    <t>HYDER ELEMENTARY SCHOOL DISTRICT 16 DBA Dateland Elementary School</t>
  </si>
  <si>
    <t>1300 S AVE 64 E</t>
  </si>
  <si>
    <t>DATELAND</t>
  </si>
  <si>
    <t>853335538</t>
  </si>
  <si>
    <t>002903466</t>
  </si>
  <si>
    <t>MYM2CJLMKWP9</t>
  </si>
  <si>
    <t>89784</t>
  </si>
  <si>
    <t>10327</t>
  </si>
  <si>
    <t>Imagine Elementary at Avondale, LLC</t>
  </si>
  <si>
    <t>950 N. Elisco C Felix Jr Way</t>
  </si>
  <si>
    <t>853231202</t>
  </si>
  <si>
    <t>827402939</t>
  </si>
  <si>
    <t>VKVEXKTDKMJ6</t>
  </si>
  <si>
    <t>90162</t>
  </si>
  <si>
    <t>10156</t>
  </si>
  <si>
    <t>Imagine Middle at Avondale, LLC.</t>
  </si>
  <si>
    <t>950 N Eliseo C Felix Jr Way</t>
  </si>
  <si>
    <t>832369644</t>
  </si>
  <si>
    <t>Q31MRYLUAP57</t>
  </si>
  <si>
    <t>89561</t>
  </si>
  <si>
    <t>10315</t>
  </si>
  <si>
    <t>Imagine Middle School</t>
  </si>
  <si>
    <t>5050 N. 19th Avenue</t>
  </si>
  <si>
    <t>850153205</t>
  </si>
  <si>
    <t>966757044</t>
  </si>
  <si>
    <t>RJS4M7QN5VU5</t>
  </si>
  <si>
    <t>88365</t>
  </si>
  <si>
    <t>10102</t>
  </si>
  <si>
    <t>Imagine Elementary at Camelback</t>
  </si>
  <si>
    <t>5050 N. 19th Ave</t>
  </si>
  <si>
    <t>85015-3201</t>
  </si>
  <si>
    <t>782236090</t>
  </si>
  <si>
    <t>YAMLT5XCL7R4</t>
  </si>
  <si>
    <t>88367</t>
  </si>
  <si>
    <t>10486</t>
  </si>
  <si>
    <t>Imagine Charter Elementary at Desert West Inc</t>
  </si>
  <si>
    <t>6738 W. McDowell Road</t>
  </si>
  <si>
    <t>850354642</t>
  </si>
  <si>
    <t>782236694</t>
  </si>
  <si>
    <t>LFQAUH9Q5MB6</t>
  </si>
  <si>
    <t>89786</t>
  </si>
  <si>
    <t>10540</t>
  </si>
  <si>
    <t>Imagine Coolidge Elementary , Inc</t>
  </si>
  <si>
    <t>1290 W. Vah Ki Inn Road</t>
  </si>
  <si>
    <t>85128-9314</t>
  </si>
  <si>
    <t>827395166</t>
  </si>
  <si>
    <t>P1LCEWCRZK65</t>
  </si>
  <si>
    <t>89563</t>
  </si>
  <si>
    <t>10321</t>
  </si>
  <si>
    <t>Imagine Middle Schools At</t>
  </si>
  <si>
    <t>6738 W Mcdowell RD</t>
  </si>
  <si>
    <t>800823663</t>
  </si>
  <si>
    <t>D7K6ASJJAP45</t>
  </si>
  <si>
    <t>078523000</t>
  </si>
  <si>
    <t>88374</t>
  </si>
  <si>
    <t>Imagine Elementary at Tempe, Inc.</t>
  </si>
  <si>
    <t>10457</t>
  </si>
  <si>
    <t>1538 E. Southern Avenue</t>
  </si>
  <si>
    <t>852825687</t>
  </si>
  <si>
    <t>782238856</t>
  </si>
  <si>
    <t>88369</t>
  </si>
  <si>
    <t>10459</t>
  </si>
  <si>
    <t>Imagine Middle at East Mesa</t>
  </si>
  <si>
    <t>782240019</t>
  </si>
  <si>
    <t>ZKJZNKG79X37</t>
  </si>
  <si>
    <t>88372</t>
  </si>
  <si>
    <t>10458</t>
  </si>
  <si>
    <t>Imagine Middle at Surprise, Inc</t>
  </si>
  <si>
    <t>1843 W 16TH AVE</t>
  </si>
  <si>
    <t>851206967</t>
  </si>
  <si>
    <t>969190334</t>
  </si>
  <si>
    <t>NX85QKZLEJF9</t>
  </si>
  <si>
    <t>90034</t>
  </si>
  <si>
    <t>10541</t>
  </si>
  <si>
    <t>IMAGINE PREP AT COOLIDGE SODEX</t>
  </si>
  <si>
    <t>1290-B W Vah Ki Inn Rd</t>
  </si>
  <si>
    <t>851289314</t>
  </si>
  <si>
    <t>963185710</t>
  </si>
  <si>
    <t>YMHYM6MJMP19</t>
  </si>
  <si>
    <t>89788</t>
  </si>
  <si>
    <t>10290</t>
  </si>
  <si>
    <t>Imagine Prep Superstition</t>
  </si>
  <si>
    <t>1843 W. 16th Avenue</t>
  </si>
  <si>
    <t>85120-6967</t>
  </si>
  <si>
    <t>827392080</t>
  </si>
  <si>
    <t>W6CAT9QKGJW6</t>
  </si>
  <si>
    <t>89790</t>
  </si>
  <si>
    <t>10171</t>
  </si>
  <si>
    <t>Imagine Prep Surprise</t>
  </si>
  <si>
    <t>14850 N. 156th Avenue</t>
  </si>
  <si>
    <t>853795653</t>
  </si>
  <si>
    <t>827449799</t>
  </si>
  <si>
    <t>P3UAXZ1BQK77</t>
  </si>
  <si>
    <t>90160</t>
  </si>
  <si>
    <t>10183</t>
  </si>
  <si>
    <t>Imagine Superstition Middle, Inc</t>
  </si>
  <si>
    <t>966753084</t>
  </si>
  <si>
    <t>UEZLJFP6AJ21</t>
  </si>
  <si>
    <t>142002000</t>
  </si>
  <si>
    <t>80085</t>
  </si>
  <si>
    <t>Immaculate Conception School</t>
  </si>
  <si>
    <t>Immaculate Conception Roman Catholic Parish &amp; Guadalupe Mission - YUMA</t>
  </si>
  <si>
    <t>505 Ave. B</t>
  </si>
  <si>
    <t>853642732</t>
  </si>
  <si>
    <t>RKWCNXR5YL93</t>
  </si>
  <si>
    <t>91326</t>
  </si>
  <si>
    <t>10585</t>
  </si>
  <si>
    <t>877 N Sarival Ave</t>
  </si>
  <si>
    <t>85338-2316</t>
  </si>
  <si>
    <t>078292932</t>
  </si>
  <si>
    <t>NBN1UBJ42B48</t>
  </si>
  <si>
    <t>108513000</t>
  </si>
  <si>
    <t>92499</t>
  </si>
  <si>
    <t>Innovative Humanities Education Corporation</t>
  </si>
  <si>
    <t>10519</t>
  </si>
  <si>
    <t>INNOVATIVE HUMANITIES EDUCATION CORPORATION</t>
  </si>
  <si>
    <t>732 W. Roger Rd.</t>
  </si>
  <si>
    <t>857052621</t>
  </si>
  <si>
    <t>079192388</t>
  </si>
  <si>
    <t>072470000</t>
  </si>
  <si>
    <t>997078</t>
  </si>
  <si>
    <t>Inspire Education LLC</t>
  </si>
  <si>
    <t>10682</t>
  </si>
  <si>
    <t>17844 N. 7th Avenue</t>
  </si>
  <si>
    <t>850231565</t>
  </si>
  <si>
    <t>922990714</t>
  </si>
  <si>
    <t>90876</t>
  </si>
  <si>
    <t>10550</t>
  </si>
  <si>
    <t>Institute for Transformative Education DBA Changemaker High School</t>
  </si>
  <si>
    <t>1300 South Belvedere Ave.</t>
  </si>
  <si>
    <t>857115701</t>
  </si>
  <si>
    <t>039277958</t>
  </si>
  <si>
    <t>XK1UF7UCXLL3</t>
  </si>
  <si>
    <t>078751000</t>
  </si>
  <si>
    <t>5174</t>
  </si>
  <si>
    <t>Integrity Education Incorporated</t>
  </si>
  <si>
    <t>10291</t>
  </si>
  <si>
    <t>515 E Continental Dr</t>
  </si>
  <si>
    <t>852811057</t>
  </si>
  <si>
    <t>032934130</t>
  </si>
  <si>
    <t>NAKYW4ABJH87</t>
  </si>
  <si>
    <t>4352</t>
  </si>
  <si>
    <t>10140</t>
  </si>
  <si>
    <t>IntelliSchool</t>
  </si>
  <si>
    <t>1427 E Bell RD STE 102</t>
  </si>
  <si>
    <t>85022-2712</t>
  </si>
  <si>
    <t>039466695</t>
  </si>
  <si>
    <t>ER2KCXJ79CA8</t>
  </si>
  <si>
    <t>078583000</t>
  </si>
  <si>
    <t>90877</t>
  </si>
  <si>
    <t>International Charter School of Arizona</t>
  </si>
  <si>
    <t>10573</t>
  </si>
  <si>
    <t>968997861</t>
  </si>
  <si>
    <t>078710000</t>
  </si>
  <si>
    <t>4334</t>
  </si>
  <si>
    <t>International Commerce Secondary Schools, Inc.</t>
  </si>
  <si>
    <t>10239</t>
  </si>
  <si>
    <t>5201 N 7th St</t>
  </si>
  <si>
    <t>072982000</t>
  </si>
  <si>
    <t>1000393</t>
  </si>
  <si>
    <t>International Rescue Committee, Inc.</t>
  </si>
  <si>
    <t>10778</t>
  </si>
  <si>
    <t>INTERNATIONAL RESCUE COMMITTEE, INC.</t>
  </si>
  <si>
    <t>4425 W Olive AVE STE 400</t>
  </si>
  <si>
    <t>853023847</t>
  </si>
  <si>
    <t>624008517</t>
  </si>
  <si>
    <t>H1G7SR89K9E8</t>
  </si>
  <si>
    <t>118702000</t>
  </si>
  <si>
    <t>79062</t>
  </si>
  <si>
    <t>Ira H. Hayes Memorial Applied Learning Center, Inc.</t>
  </si>
  <si>
    <t>10363</t>
  </si>
  <si>
    <t>113803261</t>
  </si>
  <si>
    <t>4259</t>
  </si>
  <si>
    <t>11285</t>
  </si>
  <si>
    <t>Isaac School District</t>
  </si>
  <si>
    <t>3348 W. McDowell Rd</t>
  </si>
  <si>
    <t>850092416</t>
  </si>
  <si>
    <t>099375800</t>
  </si>
  <si>
    <t>EAYAR4RAM1K3</t>
  </si>
  <si>
    <t>4445</t>
  </si>
  <si>
    <t>11469</t>
  </si>
  <si>
    <t>J O Combs USD 44</t>
  </si>
  <si>
    <t>301 E Combs Rd</t>
  </si>
  <si>
    <t>85140-9614</t>
  </si>
  <si>
    <t>100093889</t>
  </si>
  <si>
    <t>E7BLEJPLMN41</t>
  </si>
  <si>
    <t>79063</t>
  </si>
  <si>
    <t>10368</t>
  </si>
  <si>
    <t>JAMES MADISON PREPARATORY SCHOOL INC</t>
  </si>
  <si>
    <t>5815 South Mcclintock Drive</t>
  </si>
  <si>
    <t>85283-3227</t>
  </si>
  <si>
    <t>097946250</t>
  </si>
  <si>
    <t>UFUXYYTQPKN4</t>
  </si>
  <si>
    <t>79475</t>
  </si>
  <si>
    <t>10466</t>
  </si>
  <si>
    <t>5850 W Northview Ave</t>
  </si>
  <si>
    <t>853011871</t>
  </si>
  <si>
    <t>009332169</t>
  </si>
  <si>
    <t>FF28R47KKMD1</t>
  </si>
  <si>
    <t>071903000</t>
  </si>
  <si>
    <t>87918</t>
  </si>
  <si>
    <t>Jobs For Arizona's Graduates, Inc.</t>
  </si>
  <si>
    <t>004462771</t>
  </si>
  <si>
    <t>044015000</t>
  </si>
  <si>
    <t>80089</t>
  </si>
  <si>
    <t>John F. Kennedy Day School</t>
  </si>
  <si>
    <t>15767</t>
  </si>
  <si>
    <t>4388</t>
  </si>
  <si>
    <t>11395</t>
  </si>
  <si>
    <t>Joseph City Unified School District 02</t>
  </si>
  <si>
    <t>8176 Westover ST</t>
  </si>
  <si>
    <t>Joseph City</t>
  </si>
  <si>
    <t>86032-2500</t>
  </si>
  <si>
    <t>074469701</t>
  </si>
  <si>
    <t>G7KSKCNSW5Y7</t>
  </si>
  <si>
    <t>073491000</t>
  </si>
  <si>
    <t>80921</t>
  </si>
  <si>
    <t>JTW LLC dba Active Learning Center #4</t>
  </si>
  <si>
    <t>3342 W ROOSEVELT ST</t>
  </si>
  <si>
    <t>850093404</t>
  </si>
  <si>
    <t>130209700</t>
  </si>
  <si>
    <t>Juniper Canyon Alternative High School</t>
  </si>
  <si>
    <t>79064</t>
  </si>
  <si>
    <t>10365</t>
  </si>
  <si>
    <t>3777 W 16th St</t>
  </si>
  <si>
    <t>85364-4502</t>
  </si>
  <si>
    <t>169103541</t>
  </si>
  <si>
    <t>P4G2AC384XU8</t>
  </si>
  <si>
    <t>070260760</t>
  </si>
  <si>
    <t>Jurisprudence Charter School, Inc. ,The</t>
  </si>
  <si>
    <t>078753000</t>
  </si>
  <si>
    <t>4321</t>
  </si>
  <si>
    <t>Kachina Country Day School</t>
  </si>
  <si>
    <t>10242</t>
  </si>
  <si>
    <t>084599000</t>
  </si>
  <si>
    <t>9650</t>
  </si>
  <si>
    <t>Kaibab Band of Paiute Indians</t>
  </si>
  <si>
    <t>10836</t>
  </si>
  <si>
    <t>1 N. Pipesprings RD</t>
  </si>
  <si>
    <t>860229600</t>
  </si>
  <si>
    <t>145854212</t>
  </si>
  <si>
    <t>TEG8LAQYBVK</t>
  </si>
  <si>
    <t>91329</t>
  </si>
  <si>
    <t>10278</t>
  </si>
  <si>
    <t>KAIZEN EDUCATION FOUNDATION</t>
  </si>
  <si>
    <t>449 E. Southern Ave</t>
  </si>
  <si>
    <t>850403045</t>
  </si>
  <si>
    <t>019868028</t>
  </si>
  <si>
    <t>TFF4MSKFCXA9</t>
  </si>
  <si>
    <t>92989</t>
  </si>
  <si>
    <t>10653</t>
  </si>
  <si>
    <t>850 N. Morley Ave</t>
  </si>
  <si>
    <t>Nogales</t>
  </si>
  <si>
    <t>856212924</t>
  </si>
  <si>
    <t>079272218</t>
  </si>
  <si>
    <t>LQHVKXGEBUJ1</t>
  </si>
  <si>
    <t>91328</t>
  </si>
  <si>
    <t>10599</t>
  </si>
  <si>
    <t>13226 N 113th Ave</t>
  </si>
  <si>
    <t>Youngtown</t>
  </si>
  <si>
    <t>853631026</t>
  </si>
  <si>
    <t>080426150</t>
  </si>
  <si>
    <t>G8M6YMPA1K27</t>
  </si>
  <si>
    <t>4342</t>
  </si>
  <si>
    <t>10181</t>
  </si>
  <si>
    <t>3000 S. Alma School Rd</t>
  </si>
  <si>
    <t>852241470</t>
  </si>
  <si>
    <t>940198257</t>
  </si>
  <si>
    <t>LG84J9DVRGA3</t>
  </si>
  <si>
    <t>90333</t>
  </si>
  <si>
    <t>10177</t>
  </si>
  <si>
    <t>862 E. Elliot Road</t>
  </si>
  <si>
    <t>85234 - 6912</t>
  </si>
  <si>
    <t>832356526</t>
  </si>
  <si>
    <t>R8LFKTGJLUT9</t>
  </si>
  <si>
    <t>90535</t>
  </si>
  <si>
    <t>10563</t>
  </si>
  <si>
    <t>3155 Maricopa AVE</t>
  </si>
  <si>
    <t>Lake Havasu City</t>
  </si>
  <si>
    <t>864068635</t>
  </si>
  <si>
    <t>968914403</t>
  </si>
  <si>
    <t>HUTMRNQJE8C7</t>
  </si>
  <si>
    <t>90334</t>
  </si>
  <si>
    <t>10355</t>
  </si>
  <si>
    <t>3015 S. Power Rd.</t>
  </si>
  <si>
    <t>85212 - 3000</t>
  </si>
  <si>
    <t>832356054</t>
  </si>
  <si>
    <t>LKHGYLLWGKB5</t>
  </si>
  <si>
    <t>79882</t>
  </si>
  <si>
    <t>10435</t>
  </si>
  <si>
    <t>3660 W. Glendale Ave.</t>
  </si>
  <si>
    <t>85051-8335</t>
  </si>
  <si>
    <t>112618546</t>
  </si>
  <si>
    <t>GHGDG3KJ6J84</t>
  </si>
  <si>
    <t>90548</t>
  </si>
  <si>
    <t>10565</t>
  </si>
  <si>
    <t>KAIZEN EDUCATION FOUNDATION DBA MISSION HEIGHTS PREPARATORY HIGH SCHOOL</t>
  </si>
  <si>
    <t>1376 E Cottonwood LN</t>
  </si>
  <si>
    <t>851222971</t>
  </si>
  <si>
    <t>058168413</t>
  </si>
  <si>
    <t>ZAH6NJKAG2H7</t>
  </si>
  <si>
    <t>79880</t>
  </si>
  <si>
    <t>10440</t>
  </si>
  <si>
    <t>4290 S Miller RD STE 102</t>
  </si>
  <si>
    <t>853266307</t>
  </si>
  <si>
    <t>112707364</t>
  </si>
  <si>
    <t>XNXGCQ897MP6</t>
  </si>
  <si>
    <t>79233</t>
  </si>
  <si>
    <t>10341</t>
  </si>
  <si>
    <t>2033 E Southern AVE</t>
  </si>
  <si>
    <t>850403344</t>
  </si>
  <si>
    <t>832361328</t>
  </si>
  <si>
    <t>MYBLNKYK1M25</t>
  </si>
  <si>
    <t>78965</t>
  </si>
  <si>
    <t>10391</t>
  </si>
  <si>
    <t>217 E. Olympic Dr</t>
  </si>
  <si>
    <t>850426564</t>
  </si>
  <si>
    <t>027814469</t>
  </si>
  <si>
    <t>PFZQWLL4L9U7</t>
  </si>
  <si>
    <t>79876</t>
  </si>
  <si>
    <t>10438</t>
  </si>
  <si>
    <t>Kaizen Education Foundation DBA SUMMIT HIGH SCHOOL</t>
  </si>
  <si>
    <t>728 E. McDowell Rd</t>
  </si>
  <si>
    <t>850062518</t>
  </si>
  <si>
    <t>112706887</t>
  </si>
  <si>
    <t>NHKAEMJRXDV6</t>
  </si>
  <si>
    <t>79878</t>
  </si>
  <si>
    <t>10439</t>
  </si>
  <si>
    <t>217 E Olympic DR</t>
  </si>
  <si>
    <t>112707125</t>
  </si>
  <si>
    <t>P47ANUQHGDE4</t>
  </si>
  <si>
    <t>90330</t>
  </si>
  <si>
    <t>10534</t>
  </si>
  <si>
    <t>Kaizen Education Foundation</t>
  </si>
  <si>
    <t>2929 E Mckellips RD</t>
  </si>
  <si>
    <t>852133128</t>
  </si>
  <si>
    <t>832357037</t>
  </si>
  <si>
    <t>ETU2MJ4ZBCU5</t>
  </si>
  <si>
    <t>79871</t>
  </si>
  <si>
    <t>10432</t>
  </si>
  <si>
    <t>Kaizen Education Foundation DBA Vista Grove Preparatory Academy Middle School</t>
  </si>
  <si>
    <t>2929 E. McKellips Rd</t>
  </si>
  <si>
    <t>112706705</t>
  </si>
  <si>
    <t>1000164</t>
  </si>
  <si>
    <t>10746</t>
  </si>
  <si>
    <t>KALEIDOSCOPE SCHOOL</t>
  </si>
  <si>
    <t>16850 N. 16TH Street</t>
  </si>
  <si>
    <t>85022-3082</t>
  </si>
  <si>
    <t>010091537</t>
  </si>
  <si>
    <t>JW6MYDLS2939</t>
  </si>
  <si>
    <t>094008000</t>
  </si>
  <si>
    <t>80072</t>
  </si>
  <si>
    <t>Kayenta Boarding School</t>
  </si>
  <si>
    <t>14839</t>
  </si>
  <si>
    <t>033904008</t>
  </si>
  <si>
    <t>80074</t>
  </si>
  <si>
    <t>Kayenta Community School</t>
  </si>
  <si>
    <t>15784</t>
  </si>
  <si>
    <t>4396</t>
  </si>
  <si>
    <t>11397</t>
  </si>
  <si>
    <t>Kayenta Unified Schools</t>
  </si>
  <si>
    <t>N HWY 163</t>
  </si>
  <si>
    <t>860330337</t>
  </si>
  <si>
    <t>074456948</t>
  </si>
  <si>
    <t>T8VAMD7Q7817</t>
  </si>
  <si>
    <t>79065</t>
  </si>
  <si>
    <t>10359</t>
  </si>
  <si>
    <t>Kestrel Schools, INCORPORATED DBA Valley Preparatory Academy</t>
  </si>
  <si>
    <t>2150 E Southern AVE STE 713</t>
  </si>
  <si>
    <t>121934389</t>
  </si>
  <si>
    <t>XHVHKD6XBWF9</t>
  </si>
  <si>
    <t>10878</t>
  </si>
  <si>
    <t>10284</t>
  </si>
  <si>
    <t>Keystone Montessori Charter School, Inc</t>
  </si>
  <si>
    <t>1025 E Liberty Ln</t>
  </si>
  <si>
    <t>85048-8462</t>
  </si>
  <si>
    <t>154729755</t>
  </si>
  <si>
    <t>DLGZZKDEVMN9</t>
  </si>
  <si>
    <t>79420</t>
  </si>
  <si>
    <t>10467</t>
  </si>
  <si>
    <t>3701 E. River Rd.</t>
  </si>
  <si>
    <t>857186633</t>
  </si>
  <si>
    <t>007636058</t>
  </si>
  <si>
    <t>XFP2MXRFPJ46</t>
  </si>
  <si>
    <t>4360</t>
  </si>
  <si>
    <t>10246</t>
  </si>
  <si>
    <t>Khalsa Montessori Elementary School</t>
  </si>
  <si>
    <t>2536 N 3rd Street</t>
  </si>
  <si>
    <t>850041308</t>
  </si>
  <si>
    <t>960339349</t>
  </si>
  <si>
    <t>EJ16QHJHA8C5</t>
  </si>
  <si>
    <t>073476000</t>
  </si>
  <si>
    <t>79869</t>
  </si>
  <si>
    <t>Kiddie Land Country Club, L.L.C.</t>
  </si>
  <si>
    <t>14851</t>
  </si>
  <si>
    <t>3645 W BETHANY HOME RD</t>
  </si>
  <si>
    <t>850191941</t>
  </si>
  <si>
    <t>073443000</t>
  </si>
  <si>
    <t>80528</t>
  </si>
  <si>
    <t>Kids Can Doodle - Milton, Inc.</t>
  </si>
  <si>
    <t>14857</t>
  </si>
  <si>
    <t>Milton Inc</t>
  </si>
  <si>
    <t>3552 W GLENDALE AVE SUITE A</t>
  </si>
  <si>
    <t>850518358</t>
  </si>
  <si>
    <t>840022284</t>
  </si>
  <si>
    <t>122202000</t>
  </si>
  <si>
    <t>92807</t>
  </si>
  <si>
    <t>Kids House Montessori Daycare and Preschool</t>
  </si>
  <si>
    <t>15774</t>
  </si>
  <si>
    <t>103702000</t>
  </si>
  <si>
    <t>1001497</t>
  </si>
  <si>
    <t>Kidz-Zona LLC</t>
  </si>
  <si>
    <t>4826 E Pima St.</t>
  </si>
  <si>
    <t>857123543</t>
  </si>
  <si>
    <t>018759000</t>
  </si>
  <si>
    <t>78840</t>
  </si>
  <si>
    <t>Kin Dah Lichii Olta, Inc.</t>
  </si>
  <si>
    <t>10310</t>
  </si>
  <si>
    <t>Hwy 264</t>
  </si>
  <si>
    <t>86505</t>
  </si>
  <si>
    <t>123858396</t>
  </si>
  <si>
    <t>072452000</t>
  </si>
  <si>
    <t>92805</t>
  </si>
  <si>
    <t>Kinder Kollege Dayschool c/o Paulsen E. Myles</t>
  </si>
  <si>
    <t>15771</t>
  </si>
  <si>
    <t>4312 W. Northern Ave</t>
  </si>
  <si>
    <t>853011648</t>
  </si>
  <si>
    <t>826334190</t>
  </si>
  <si>
    <t>103084001</t>
  </si>
  <si>
    <t>9999</t>
  </si>
  <si>
    <t>Kindercare Learning Center Inc.#397</t>
  </si>
  <si>
    <t>073360000</t>
  </si>
  <si>
    <t>1000326</t>
  </si>
  <si>
    <t>Kinderland Learning Academy LLC, dba Kinder Academy</t>
  </si>
  <si>
    <t>10780</t>
  </si>
  <si>
    <t>3259 W BASELINE RD</t>
  </si>
  <si>
    <t>LAVEEN</t>
  </si>
  <si>
    <t>85339</t>
  </si>
  <si>
    <t>072453000</t>
  </si>
  <si>
    <t>92809</t>
  </si>
  <si>
    <t>Kindertots Inc</t>
  </si>
  <si>
    <t>15790</t>
  </si>
  <si>
    <t>1118 W Glendale Ave</t>
  </si>
  <si>
    <t>032828593</t>
  </si>
  <si>
    <t>4383</t>
  </si>
  <si>
    <t>10141</t>
  </si>
  <si>
    <t>Kingman Academy of Learning</t>
  </si>
  <si>
    <t>3410 N. Burbank Street</t>
  </si>
  <si>
    <t>86409-3105</t>
  </si>
  <si>
    <t>933018079</t>
  </si>
  <si>
    <t>TSELAMNTU241</t>
  </si>
  <si>
    <t>080404000</t>
  </si>
  <si>
    <t>Kingman Elementary District</t>
  </si>
  <si>
    <t>79598</t>
  </si>
  <si>
    <t>11361</t>
  </si>
  <si>
    <t>Kingman Unified School District No. 20</t>
  </si>
  <si>
    <t>3033 McDonald Avenue</t>
  </si>
  <si>
    <t>864014235</t>
  </si>
  <si>
    <t>123968794</t>
  </si>
  <si>
    <t>R7SVWNM8LNF5</t>
  </si>
  <si>
    <t>120101000</t>
  </si>
  <si>
    <t>Kino Academy Accommodation School</t>
  </si>
  <si>
    <t>4480</t>
  </si>
  <si>
    <t>11535</t>
  </si>
  <si>
    <t>Kirkland Elem School District 23</t>
  </si>
  <si>
    <t>150 Main St</t>
  </si>
  <si>
    <t>Kirkland</t>
  </si>
  <si>
    <t>863320000</t>
  </si>
  <si>
    <t>100001593</t>
  </si>
  <si>
    <t>MG3AN1P6VM52</t>
  </si>
  <si>
    <t>050309000</t>
  </si>
  <si>
    <t>4223</t>
  </si>
  <si>
    <t>Klondyke Elementary District</t>
  </si>
  <si>
    <t>4267</t>
  </si>
  <si>
    <t>11287</t>
  </si>
  <si>
    <t>KYRENE ELEMENTARY SCHOOL DISTRICT NO 28</t>
  </si>
  <si>
    <t>8700 SOUTH KYRENE ROAD</t>
  </si>
  <si>
    <t>85284</t>
  </si>
  <si>
    <t>021657069</t>
  </si>
  <si>
    <t>CGJAA25W6GZ1</t>
  </si>
  <si>
    <t>151699001</t>
  </si>
  <si>
    <t>La Paz Career Center</t>
  </si>
  <si>
    <t>14889</t>
  </si>
  <si>
    <t>1108 JOSHUA AVE</t>
  </si>
  <si>
    <t>PARKER</t>
  </si>
  <si>
    <t>853445735</t>
  </si>
  <si>
    <t>196192116</t>
  </si>
  <si>
    <t>159999001</t>
  </si>
  <si>
    <t>79195</t>
  </si>
  <si>
    <t>La Paz County Education Service Agency</t>
  </si>
  <si>
    <t>13205</t>
  </si>
  <si>
    <t>La Paz County Office of Education</t>
  </si>
  <si>
    <t>1112 S. Joshua Ave., Ste. 205</t>
  </si>
  <si>
    <t>Parker</t>
  </si>
  <si>
    <t>853445756</t>
  </si>
  <si>
    <t>183870112</t>
  </si>
  <si>
    <t>ZZN5T95KLD41</t>
  </si>
  <si>
    <t>151799001</t>
  </si>
  <si>
    <t>La Paz County School Consortium</t>
  </si>
  <si>
    <t>13201</t>
  </si>
  <si>
    <t>1112 S JOSHUA AVE STE 205</t>
  </si>
  <si>
    <t>79541</t>
  </si>
  <si>
    <t>La Paz County</t>
  </si>
  <si>
    <t>1109 Arizona Ave.</t>
  </si>
  <si>
    <t>853445743</t>
  </si>
  <si>
    <t>866938111</t>
  </si>
  <si>
    <t>90900</t>
  </si>
  <si>
    <t>10548</t>
  </si>
  <si>
    <t>La Tierra Community School</t>
  </si>
  <si>
    <t>124 N Virginia Street</t>
  </si>
  <si>
    <t>86301-3224</t>
  </si>
  <si>
    <t>968338702</t>
  </si>
  <si>
    <t>HCUPGRJ5JJC1</t>
  </si>
  <si>
    <t>088750000</t>
  </si>
  <si>
    <t>4384</t>
  </si>
  <si>
    <t>Lake Havasu Charter School  Inc.</t>
  </si>
  <si>
    <t>10252</t>
  </si>
  <si>
    <t>4368</t>
  </si>
  <si>
    <t>11371</t>
  </si>
  <si>
    <t>Lake Havasu Unified School District #1</t>
  </si>
  <si>
    <t>2200 Havasupai Boulevard</t>
  </si>
  <si>
    <t>Lake Havasu</t>
  </si>
  <si>
    <t>864033122</t>
  </si>
  <si>
    <t>002902351</t>
  </si>
  <si>
    <t>JTDHRRQJKUV6</t>
  </si>
  <si>
    <t>038735000</t>
  </si>
  <si>
    <t>Lake Powell Academy Inc.</t>
  </si>
  <si>
    <t>072449000</t>
  </si>
  <si>
    <t>91880</t>
  </si>
  <si>
    <t>Landrum Foundation, Inc</t>
  </si>
  <si>
    <t>14441</t>
  </si>
  <si>
    <t>Landrum Foundation</t>
  </si>
  <si>
    <t>1902 W Roeser Rd</t>
  </si>
  <si>
    <t>853391883</t>
  </si>
  <si>
    <t>056364611</t>
  </si>
  <si>
    <t>108765000</t>
  </si>
  <si>
    <t>Laurent Clerc Elementary School</t>
  </si>
  <si>
    <t>4276</t>
  </si>
  <si>
    <t>11289</t>
  </si>
  <si>
    <t>Laveen School District 59</t>
  </si>
  <si>
    <t>5001 W. Dobbins Rd.</t>
  </si>
  <si>
    <t>85339-9733</t>
  </si>
  <si>
    <t>002901627</t>
  </si>
  <si>
    <t>FS6MEGLSJWS8</t>
  </si>
  <si>
    <t>79967</t>
  </si>
  <si>
    <t>10414</t>
  </si>
  <si>
    <t>633 E Ray Road Suite 132</t>
  </si>
  <si>
    <t>85296-4206</t>
  </si>
  <si>
    <t>027312730</t>
  </si>
  <si>
    <t>PWCNN9MKRB87</t>
  </si>
  <si>
    <t>079495000</t>
  </si>
  <si>
    <t>92977</t>
  </si>
  <si>
    <t>Leadership for Children</t>
  </si>
  <si>
    <t>90637</t>
  </si>
  <si>
    <t>10397</t>
  </si>
  <si>
    <t>18700 N Porter Rd</t>
  </si>
  <si>
    <t>851384220</t>
  </si>
  <si>
    <t>069977151</t>
  </si>
  <si>
    <t>YAN5UFNF5594</t>
  </si>
  <si>
    <t>91174</t>
  </si>
  <si>
    <t>10415</t>
  </si>
  <si>
    <t>4815 W Hunt Hwy</t>
  </si>
  <si>
    <t>85142-3271</t>
  </si>
  <si>
    <t>116972984</t>
  </si>
  <si>
    <t>QWMTHR8KTNW1</t>
  </si>
  <si>
    <t>073135000</t>
  </si>
  <si>
    <t>9193</t>
  </si>
  <si>
    <t>Learning Works Preschool</t>
  </si>
  <si>
    <t>14915</t>
  </si>
  <si>
    <t>10726 N 96th Ave</t>
  </si>
  <si>
    <t>853455461</t>
  </si>
  <si>
    <t>183868553</t>
  </si>
  <si>
    <t>87349</t>
  </si>
  <si>
    <t>10526</t>
  </si>
  <si>
    <t>7420 E Main St</t>
  </si>
  <si>
    <t>85207-8306</t>
  </si>
  <si>
    <t>184194038</t>
  </si>
  <si>
    <t>Z8BRMCFAJFB7</t>
  </si>
  <si>
    <t>078685000</t>
  </si>
  <si>
    <t>79660</t>
  </si>
  <si>
    <t>Legacy Schools</t>
  </si>
  <si>
    <t>10489</t>
  </si>
  <si>
    <t>7618 E UNIVERSITY DR</t>
  </si>
  <si>
    <t>852076601</t>
  </si>
  <si>
    <t>052168195</t>
  </si>
  <si>
    <t>91135</t>
  </si>
  <si>
    <t>10553</t>
  </si>
  <si>
    <t>Legacy Traditional Avondale</t>
  </si>
  <si>
    <t>12320 W Van Buren St</t>
  </si>
  <si>
    <t>85323-5238</t>
  </si>
  <si>
    <t>878846513</t>
  </si>
  <si>
    <t>JEJ2VLBQP9Z3</t>
  </si>
  <si>
    <t>92199</t>
  </si>
  <si>
    <t>10616</t>
  </si>
  <si>
    <t>1274 E Onell Dr</t>
  </si>
  <si>
    <t>851226496</t>
  </si>
  <si>
    <t>014529237</t>
  </si>
  <si>
    <t>ZE7MM2MACN71</t>
  </si>
  <si>
    <t>91133</t>
  </si>
  <si>
    <t>10554</t>
  </si>
  <si>
    <t>Legacy Traditional School</t>
  </si>
  <si>
    <t>3201 S Gilbert Rd</t>
  </si>
  <si>
    <t>85286-5193</t>
  </si>
  <si>
    <t>014309717</t>
  </si>
  <si>
    <t>LDNZYPK1KGP9</t>
  </si>
  <si>
    <t>1001398</t>
  </si>
  <si>
    <t>15809</t>
  </si>
  <si>
    <t>2747 West Union Hills Drive</t>
  </si>
  <si>
    <t>850275002</t>
  </si>
  <si>
    <t>117814844</t>
  </si>
  <si>
    <t>NTF5Y2N6CAX8</t>
  </si>
  <si>
    <t>834265</t>
  </si>
  <si>
    <t>10736</t>
  </si>
  <si>
    <t>10707 E Guadalupe Rd</t>
  </si>
  <si>
    <t>85212-2173</t>
  </si>
  <si>
    <t>080691221</t>
  </si>
  <si>
    <t>P3C7KBMYS4T5</t>
  </si>
  <si>
    <t>1001399</t>
  </si>
  <si>
    <t>15810</t>
  </si>
  <si>
    <t>9290 E Golf Links Rd</t>
  </si>
  <si>
    <t>857301305</t>
  </si>
  <si>
    <t>068040171</t>
  </si>
  <si>
    <t>MKM5UX7A2D17</t>
  </si>
  <si>
    <t>92047</t>
  </si>
  <si>
    <t>10254</t>
  </si>
  <si>
    <t>2747 S Recker Rd</t>
  </si>
  <si>
    <t>85295-7851</t>
  </si>
  <si>
    <t>078838910</t>
  </si>
  <si>
    <t>MSBFC4M82DY7</t>
  </si>
  <si>
    <t>850100</t>
  </si>
  <si>
    <t>10639</t>
  </si>
  <si>
    <t>13901 N 67th Ave</t>
  </si>
  <si>
    <t>85306-3714</t>
  </si>
  <si>
    <t>080237408</t>
  </si>
  <si>
    <t>YGUMC9RWCNJ1</t>
  </si>
  <si>
    <t>1000283</t>
  </si>
  <si>
    <t>10771</t>
  </si>
  <si>
    <t>16060 W Lower Buckeye Rd</t>
  </si>
  <si>
    <t>117213158</t>
  </si>
  <si>
    <t>VMSXC83GZKZ8</t>
  </si>
  <si>
    <t>91763</t>
  </si>
  <si>
    <t>10555</t>
  </si>
  <si>
    <t>LTS Laveen</t>
  </si>
  <si>
    <t>7900 S 43rd Ave</t>
  </si>
  <si>
    <t>85339-3023</t>
  </si>
  <si>
    <t>039264563</t>
  </si>
  <si>
    <t>C3JCUCEZ9543</t>
  </si>
  <si>
    <t>88360</t>
  </si>
  <si>
    <t>10255</t>
  </si>
  <si>
    <t>17760 N Regent Dr</t>
  </si>
  <si>
    <t>851387804</t>
  </si>
  <si>
    <t>005813533</t>
  </si>
  <si>
    <t>DJCLRS8GH5F8</t>
  </si>
  <si>
    <t>1001397</t>
  </si>
  <si>
    <t>15811</t>
  </si>
  <si>
    <t>3651 E McKellips Rd</t>
  </si>
  <si>
    <t>85215-2301</t>
  </si>
  <si>
    <t>117814866</t>
  </si>
  <si>
    <t>KVKTBKN83KN5</t>
  </si>
  <si>
    <t>850101</t>
  </si>
  <si>
    <t>10638</t>
  </si>
  <si>
    <t>1900 N McQueen Rd</t>
  </si>
  <si>
    <t>85225-1945</t>
  </si>
  <si>
    <t>080073176</t>
  </si>
  <si>
    <t>FJGMFN1DLEC4</t>
  </si>
  <si>
    <t>1000568</t>
  </si>
  <si>
    <t>10797</t>
  </si>
  <si>
    <t>4525 N 98th Ave</t>
  </si>
  <si>
    <t>85037-0100</t>
  </si>
  <si>
    <t>117387255</t>
  </si>
  <si>
    <t>DK37L6E75E73</t>
  </si>
  <si>
    <t>91137</t>
  </si>
  <si>
    <t>10615</t>
  </si>
  <si>
    <t>Legacy Traditional NW Tucson</t>
  </si>
  <si>
    <t>3500 W Cortaro Farms Rd</t>
  </si>
  <si>
    <t>85742-7808</t>
  </si>
  <si>
    <t>031801456</t>
  </si>
  <si>
    <t>GQL5CMK7KZ13</t>
  </si>
  <si>
    <t>850099</t>
  </si>
  <si>
    <t>10641</t>
  </si>
  <si>
    <t>7877 W Hillcrest Blvd</t>
  </si>
  <si>
    <t>85383-2121</t>
  </si>
  <si>
    <t>079968101</t>
  </si>
  <si>
    <t>NN9UKVDMLK45</t>
  </si>
  <si>
    <t>873957</t>
  </si>
  <si>
    <t>10737</t>
  </si>
  <si>
    <t>LTS- Phoenix</t>
  </si>
  <si>
    <t>4545 N 99th Ave</t>
  </si>
  <si>
    <t>85037</t>
  </si>
  <si>
    <t>080929166</t>
  </si>
  <si>
    <t>VL4EUKV84AN7</t>
  </si>
  <si>
    <t>92610</t>
  </si>
  <si>
    <t>10462</t>
  </si>
  <si>
    <t>41800 N Barnes Pkwy</t>
  </si>
  <si>
    <t>851406638</t>
  </si>
  <si>
    <t>063010926</t>
  </si>
  <si>
    <t>U198V74CN1E3</t>
  </si>
  <si>
    <t>92879</t>
  </si>
  <si>
    <t>10612</t>
  </si>
  <si>
    <t>14506 W Sweetwater Ave</t>
  </si>
  <si>
    <t>85379-4290</t>
  </si>
  <si>
    <t>079758072</t>
  </si>
  <si>
    <t>GRZNUZZQ5W26</t>
  </si>
  <si>
    <t>1000560</t>
  </si>
  <si>
    <t>10796</t>
  </si>
  <si>
    <t>17300 West Cactus Rd</t>
  </si>
  <si>
    <t>85388</t>
  </si>
  <si>
    <t>117387623</t>
  </si>
  <si>
    <t>WLGBMMFQTEA8</t>
  </si>
  <si>
    <t>1001927</t>
  </si>
  <si>
    <t>10856</t>
  </si>
  <si>
    <t>Legacy Traditional School - San Tan</t>
  </si>
  <si>
    <t>3125 S Gilbert Rd</t>
  </si>
  <si>
    <t>852865194</t>
  </si>
  <si>
    <t>JMSZPNY9JEF4</t>
  </si>
  <si>
    <t>92730</t>
  </si>
  <si>
    <t>10609</t>
  </si>
  <si>
    <t>Leman Academy of Excellence</t>
  </si>
  <si>
    <t>6601 E Grant Rd Ste 101</t>
  </si>
  <si>
    <t>857155800</t>
  </si>
  <si>
    <t>062885169</t>
  </si>
  <si>
    <t>QPP7RWMLP6Z2</t>
  </si>
  <si>
    <t>078982000</t>
  </si>
  <si>
    <t>80987</t>
  </si>
  <si>
    <t>Leona Advanced Virtual Academy</t>
  </si>
  <si>
    <t>10495</t>
  </si>
  <si>
    <t>187510115</t>
  </si>
  <si>
    <t>4266</t>
  </si>
  <si>
    <t>11291</t>
  </si>
  <si>
    <t>Liberty Elementary School District 25</t>
  </si>
  <si>
    <t>19871 W Fremont Rd</t>
  </si>
  <si>
    <t>85326-9512</t>
  </si>
  <si>
    <t>100642453</t>
  </si>
  <si>
    <t>ZZMXFA5VNW55</t>
  </si>
  <si>
    <t>4216</t>
  </si>
  <si>
    <t>10230</t>
  </si>
  <si>
    <t>Gila Co Office of Education, dba Liberty High School</t>
  </si>
  <si>
    <t>1300 E Cedar ST</t>
  </si>
  <si>
    <t>855011731</t>
  </si>
  <si>
    <t>794537139</t>
  </si>
  <si>
    <t>K7S9NR3FE3L9</t>
  </si>
  <si>
    <t>1001520</t>
  </si>
  <si>
    <t>10803</t>
  </si>
  <si>
    <t>320 South Main Street</t>
  </si>
  <si>
    <t>86326-3905</t>
  </si>
  <si>
    <t>117118068</t>
  </si>
  <si>
    <t>UKFPC36LDYQ3</t>
  </si>
  <si>
    <t>10968</t>
  </si>
  <si>
    <t>10148</t>
  </si>
  <si>
    <t>LIBERTY TRADITIONAL CHARTER SCHOOL</t>
  </si>
  <si>
    <t>4027 N 45TH AVE</t>
  </si>
  <si>
    <t>85031-2840</t>
  </si>
  <si>
    <t>069991409</t>
  </si>
  <si>
    <t>YTSMFKSH8UD3</t>
  </si>
  <si>
    <t>078980000</t>
  </si>
  <si>
    <t>80299</t>
  </si>
  <si>
    <t>Life Skills Center of Arizona, Inc.</t>
  </si>
  <si>
    <t>10129</t>
  </si>
  <si>
    <t>8123 35TH AVE #2</t>
  </si>
  <si>
    <t>850519403</t>
  </si>
  <si>
    <t>130599660</t>
  </si>
  <si>
    <t>108708000</t>
  </si>
  <si>
    <t>79926</t>
  </si>
  <si>
    <t>Lifelong Learning Research Institute, Inc.</t>
  </si>
  <si>
    <t>10424</t>
  </si>
  <si>
    <t>3295 W. Orange Grove Rd.</t>
  </si>
  <si>
    <t>857412937</t>
  </si>
  <si>
    <t>962796954</t>
  </si>
  <si>
    <t>108908000</t>
  </si>
  <si>
    <t>90754</t>
  </si>
  <si>
    <t>60360</t>
  </si>
  <si>
    <t>3295 W Orange Grove Rd.</t>
  </si>
  <si>
    <t>073327000</t>
  </si>
  <si>
    <t>150723</t>
  </si>
  <si>
    <t>Lil' Einsteins Academy LLC</t>
  </si>
  <si>
    <t>10663</t>
  </si>
  <si>
    <t>3071 W HUNT HWY STE 104</t>
  </si>
  <si>
    <t>851429312</t>
  </si>
  <si>
    <t>113027000</t>
  </si>
  <si>
    <t>272472</t>
  </si>
  <si>
    <t>Lil' Kiddieland Childcare, LLC</t>
  </si>
  <si>
    <t>15791</t>
  </si>
  <si>
    <t>460 S 7TH ST</t>
  </si>
  <si>
    <t>851284603</t>
  </si>
  <si>
    <t>UREKG8WRARN</t>
  </si>
  <si>
    <t>072206000</t>
  </si>
  <si>
    <t>8664</t>
  </si>
  <si>
    <t>Lincoln Learning Center</t>
  </si>
  <si>
    <t>14931</t>
  </si>
  <si>
    <t>Desert Mission Inc.</t>
  </si>
  <si>
    <t>9201 N 5th Street</t>
  </si>
  <si>
    <t>850202532</t>
  </si>
  <si>
    <t>829863039</t>
  </si>
  <si>
    <t>NM4XG8MD7K25</t>
  </si>
  <si>
    <t>92657</t>
  </si>
  <si>
    <t>10624</t>
  </si>
  <si>
    <t>2250 S. Gilbert Rd.</t>
  </si>
  <si>
    <t>079831351</t>
  </si>
  <si>
    <t>DHE9LJP3AFA5</t>
  </si>
  <si>
    <t>4281</t>
  </si>
  <si>
    <t>11293</t>
  </si>
  <si>
    <t>Litchfield Elementary School District #79</t>
  </si>
  <si>
    <t>272 E Sagebrush St</t>
  </si>
  <si>
    <t>853404930</t>
  </si>
  <si>
    <t>002901676</t>
  </si>
  <si>
    <t>ZNVSNVF551X6</t>
  </si>
  <si>
    <t>072899000</t>
  </si>
  <si>
    <t>8973</t>
  </si>
  <si>
    <t>Literacy Volunteers Of Maricopa County</t>
  </si>
  <si>
    <t>14943</t>
  </si>
  <si>
    <t>Literacy Volunteers of Maricopa County</t>
  </si>
  <si>
    <t>729 E. Hatcher Road</t>
  </si>
  <si>
    <t>85020-2506</t>
  </si>
  <si>
    <t>036899434</t>
  </si>
  <si>
    <t>HLNJVWN9M9A5</t>
  </si>
  <si>
    <t>122899001</t>
  </si>
  <si>
    <t>Literacy Volunteers Of Santa Cruz</t>
  </si>
  <si>
    <t>14101</t>
  </si>
  <si>
    <t>LITERACY VOLUNTEERS OF AMERICA-SANTA CRUZ COUNTY INC</t>
  </si>
  <si>
    <t>125 E. Madison St.</t>
  </si>
  <si>
    <t>856212344</t>
  </si>
  <si>
    <t>964847060</t>
  </si>
  <si>
    <t>102801000</t>
  </si>
  <si>
    <t>79253</t>
  </si>
  <si>
    <t>Literacy Volunteers of Tucson</t>
  </si>
  <si>
    <t>073334000</t>
  </si>
  <si>
    <t>36972</t>
  </si>
  <si>
    <t>Little Geniuses Childcare Center LLC</t>
  </si>
  <si>
    <t>10701</t>
  </si>
  <si>
    <t>LITTLE GENIUSES CHILDCARE CENTER LLC</t>
  </si>
  <si>
    <t>6515 E Main St 101</t>
  </si>
  <si>
    <t>852050901</t>
  </si>
  <si>
    <t>073414000</t>
  </si>
  <si>
    <t>9555</t>
  </si>
  <si>
    <t>Little Kings and Queens Preschool</t>
  </si>
  <si>
    <t>10675</t>
  </si>
  <si>
    <t>4136 N 82 nd St</t>
  </si>
  <si>
    <t>852512730</t>
  </si>
  <si>
    <t>139538110</t>
  </si>
  <si>
    <t>79050</t>
  </si>
  <si>
    <t>10366</t>
  </si>
  <si>
    <t>12990 E Shea BLVD</t>
  </si>
  <si>
    <t>85259-5305</t>
  </si>
  <si>
    <t>113220185</t>
  </si>
  <si>
    <t>PC6HGFYUMLK3</t>
  </si>
  <si>
    <t>073316000</t>
  </si>
  <si>
    <t>92711</t>
  </si>
  <si>
    <t>Little Rascals Learning Center, LLC</t>
  </si>
  <si>
    <t>14417</t>
  </si>
  <si>
    <t>3400 S MILL AVE STE 334</t>
  </si>
  <si>
    <t>852824967</t>
  </si>
  <si>
    <t>083023000</t>
  </si>
  <si>
    <t>89932</t>
  </si>
  <si>
    <t>Little Scooters Preschool LLC</t>
  </si>
  <si>
    <t>15663</t>
  </si>
  <si>
    <t>2750 Miracle Mile</t>
  </si>
  <si>
    <t>86442-7700</t>
  </si>
  <si>
    <t>NED7AG84R5L3</t>
  </si>
  <si>
    <t>098748000</t>
  </si>
  <si>
    <t>5178</t>
  </si>
  <si>
    <t>Little Singer Community School Board Inc.</t>
  </si>
  <si>
    <t>10187</t>
  </si>
  <si>
    <t>3 miles SE of Birdsprings Chapter House</t>
  </si>
  <si>
    <t>86047</t>
  </si>
  <si>
    <t>179480660</t>
  </si>
  <si>
    <t>4374</t>
  </si>
  <si>
    <t>11385</t>
  </si>
  <si>
    <t>Littlefield Unified School District #9</t>
  </si>
  <si>
    <t>3475 E Rio Virgin Rd</t>
  </si>
  <si>
    <t>Littlefield</t>
  </si>
  <si>
    <t>864320000</t>
  </si>
  <si>
    <t>002902286</t>
  </si>
  <si>
    <t>NMJKVL9Z3AT8</t>
  </si>
  <si>
    <t>4278</t>
  </si>
  <si>
    <t>11295</t>
  </si>
  <si>
    <t>Littleton Elementary School District</t>
  </si>
  <si>
    <t>1252 S 115th Ave</t>
  </si>
  <si>
    <t>85323</t>
  </si>
  <si>
    <t>966778144</t>
  </si>
  <si>
    <t>GBY9FHMAXP37</t>
  </si>
  <si>
    <t>149103000</t>
  </si>
  <si>
    <t>268612</t>
  </si>
  <si>
    <t>Loretto School</t>
  </si>
  <si>
    <t>122001000</t>
  </si>
  <si>
    <t>Lourdes Catholic School</t>
  </si>
  <si>
    <t>15081</t>
  </si>
  <si>
    <t>794535281</t>
  </si>
  <si>
    <t>108702000</t>
  </si>
  <si>
    <t>4427</t>
  </si>
  <si>
    <t>Luz Academy of Tucson, Inc</t>
  </si>
  <si>
    <t>10256</t>
  </si>
  <si>
    <t>122382950</t>
  </si>
  <si>
    <t>4270</t>
  </si>
  <si>
    <t>11297</t>
  </si>
  <si>
    <t>County of Maricopa Madison School District #38</t>
  </si>
  <si>
    <t>5601 N 16th Street</t>
  </si>
  <si>
    <t>850162903</t>
  </si>
  <si>
    <t>002901692</t>
  </si>
  <si>
    <t>JWBVHHPJ22F1</t>
  </si>
  <si>
    <t>91935</t>
  </si>
  <si>
    <t>10180</t>
  </si>
  <si>
    <t>1431 East Campbell</t>
  </si>
  <si>
    <t>85014-4282</t>
  </si>
  <si>
    <t>078746585</t>
  </si>
  <si>
    <t>P2AHCFMN4DD8</t>
  </si>
  <si>
    <t>1001521</t>
  </si>
  <si>
    <t>10816</t>
  </si>
  <si>
    <t>12235 W Van Buren St.</t>
  </si>
  <si>
    <t>853235248</t>
  </si>
  <si>
    <t>4199</t>
  </si>
  <si>
    <t>11179</t>
  </si>
  <si>
    <t>Maine Consolidated Elementary School District No. 10</t>
  </si>
  <si>
    <t>10 Spring Valley Rd.</t>
  </si>
  <si>
    <t>Parks</t>
  </si>
  <si>
    <t>86018</t>
  </si>
  <si>
    <t>183866383</t>
  </si>
  <si>
    <t>KN97KHBBW6K7</t>
  </si>
  <si>
    <t>012968000</t>
  </si>
  <si>
    <t>1000400</t>
  </si>
  <si>
    <t>Maisha Mapya International Ministries, Incorporated</t>
  </si>
  <si>
    <t>10777</t>
  </si>
  <si>
    <t>102901000</t>
  </si>
  <si>
    <t>1001527</t>
  </si>
  <si>
    <t>Make Way For Books</t>
  </si>
  <si>
    <t>10781</t>
  </si>
  <si>
    <t>Make Way for Books</t>
  </si>
  <si>
    <t>700 N Stone Ave</t>
  </si>
  <si>
    <t>857058351</t>
  </si>
  <si>
    <t>053999392</t>
  </si>
  <si>
    <t>ZCAUCDKPHZK4</t>
  </si>
  <si>
    <t>4439</t>
  </si>
  <si>
    <t>11471</t>
  </si>
  <si>
    <t>Mammoth-San Manuel Unified School District #8</t>
  </si>
  <si>
    <t>711 S McNab Pkwy</t>
  </si>
  <si>
    <t>San Manuel</t>
  </si>
  <si>
    <t>85631-1337</t>
  </si>
  <si>
    <t>123910069</t>
  </si>
  <si>
    <t>ZMLGV21EM3M5</t>
  </si>
  <si>
    <t>013903000</t>
  </si>
  <si>
    <t>90995</t>
  </si>
  <si>
    <t>Many Farms Community School, Inc</t>
  </si>
  <si>
    <t>14607</t>
  </si>
  <si>
    <t>014002000</t>
  </si>
  <si>
    <t>78992</t>
  </si>
  <si>
    <t>Many Farms High School</t>
  </si>
  <si>
    <t>14993</t>
  </si>
  <si>
    <t>4404</t>
  </si>
  <si>
    <t>11433</t>
  </si>
  <si>
    <t>Marana Unified School District</t>
  </si>
  <si>
    <t>11279 W Grier Rd</t>
  </si>
  <si>
    <t>Marana</t>
  </si>
  <si>
    <t>85653-9609</t>
  </si>
  <si>
    <t>079836348</t>
  </si>
  <si>
    <t>LN4HMDMP5AD5</t>
  </si>
  <si>
    <t>070601001</t>
  </si>
  <si>
    <t>7270</t>
  </si>
  <si>
    <t>Maricopa Cnty Ccd</t>
  </si>
  <si>
    <t>12331</t>
  </si>
  <si>
    <t>Maricopa County Community College District</t>
  </si>
  <si>
    <t>2411 W 14th St</t>
  </si>
  <si>
    <t>852816941</t>
  </si>
  <si>
    <t>074491515</t>
  </si>
  <si>
    <t>L2V3TUBLQR27</t>
  </si>
  <si>
    <t>217640000</t>
  </si>
  <si>
    <t>10964</t>
  </si>
  <si>
    <t>Maricopa County Adult Probation</t>
  </si>
  <si>
    <t>13237</t>
  </si>
  <si>
    <t>Court Administration</t>
  </si>
  <si>
    <t>201 W Jefferson</t>
  </si>
  <si>
    <t>85003-2203</t>
  </si>
  <si>
    <t>616732827</t>
  </si>
  <si>
    <t>CGLYNJCBGW73</t>
  </si>
  <si>
    <t>4314</t>
  </si>
  <si>
    <t>10133</t>
  </si>
  <si>
    <t>MARICOPA COUNTY COMMUNITY COLLEGE DISTRICT GATEWAY COMMUNITY COLLEGE</t>
  </si>
  <si>
    <t>108 N 40th Street</t>
  </si>
  <si>
    <t>85034-1704</t>
  </si>
  <si>
    <t>188922629</t>
  </si>
  <si>
    <t>SP3CV9MFLS69</t>
  </si>
  <si>
    <t>1000313</t>
  </si>
  <si>
    <t>10814</t>
  </si>
  <si>
    <t>Maricopa County Superintendent of Schools</t>
  </si>
  <si>
    <t>4041 N. Central Ave, Suite 1200</t>
  </si>
  <si>
    <t>850123312</t>
  </si>
  <si>
    <t>183866680</t>
  </si>
  <si>
    <t>JLJNMJ6C9R76</t>
  </si>
  <si>
    <t>079999001</t>
  </si>
  <si>
    <t>79190</t>
  </si>
  <si>
    <t>Maricopa County Educational Service Agency</t>
  </si>
  <si>
    <t>13245</t>
  </si>
  <si>
    <t>072603000</t>
  </si>
  <si>
    <t>7432</t>
  </si>
  <si>
    <t>Maricopa County Head Start</t>
  </si>
  <si>
    <t>10687</t>
  </si>
  <si>
    <t>County of Maricopa</t>
  </si>
  <si>
    <t>234 N Central Ave, 3rd Floor</t>
  </si>
  <si>
    <t>850042256</t>
  </si>
  <si>
    <t>050391270</t>
  </si>
  <si>
    <t>4234</t>
  </si>
  <si>
    <t>11299</t>
  </si>
  <si>
    <t>800 W ADAMS ST</t>
  </si>
  <si>
    <t>85007-2730</t>
  </si>
  <si>
    <t>002904100</t>
  </si>
  <si>
    <t>E3BZPX41GQU8</t>
  </si>
  <si>
    <t>070177000</t>
  </si>
  <si>
    <t>4233</t>
  </si>
  <si>
    <t>Maricopa County Regional Special Services District</t>
  </si>
  <si>
    <t>11355</t>
  </si>
  <si>
    <t>4041 N Central Ave Ste 1200</t>
  </si>
  <si>
    <t>074410000</t>
  </si>
  <si>
    <t>9575</t>
  </si>
  <si>
    <t>Maricopa County Sheriff''s Office</t>
  </si>
  <si>
    <t>100 W WASHINGTON ST FL 19</t>
  </si>
  <si>
    <t>850031804</t>
  </si>
  <si>
    <t>137783556</t>
  </si>
  <si>
    <t>79540</t>
  </si>
  <si>
    <t>13229</t>
  </si>
  <si>
    <t>Maricopa, County of</t>
  </si>
  <si>
    <t>550 W Jackson St Fl 4</t>
  </si>
  <si>
    <t>850032412</t>
  </si>
  <si>
    <t>JW5VMAWMCQR6</t>
  </si>
  <si>
    <t>074201000</t>
  </si>
  <si>
    <t>4291</t>
  </si>
  <si>
    <t>MARICOPA SPEC SVCS CONSORTIUM</t>
  </si>
  <si>
    <t>4441</t>
  </si>
  <si>
    <t>11473</t>
  </si>
  <si>
    <t>Maricopa Unified School District 20</t>
  </si>
  <si>
    <t>44150 W. Maricopa Casa-Grande Hwy</t>
  </si>
  <si>
    <t>85138-5900</t>
  </si>
  <si>
    <t>100642495</t>
  </si>
  <si>
    <t>VJ47JEEL6NZ6</t>
  </si>
  <si>
    <t>072500000</t>
  </si>
  <si>
    <t>1002206</t>
  </si>
  <si>
    <t>Marnita Finch</t>
  </si>
  <si>
    <t>45173 W Sandhill Rd</t>
  </si>
  <si>
    <t>85139</t>
  </si>
  <si>
    <t>4435</t>
  </si>
  <si>
    <t>11475</t>
  </si>
  <si>
    <t>3740 N Toltec Rd</t>
  </si>
  <si>
    <t>85131</t>
  </si>
  <si>
    <t>100001387</t>
  </si>
  <si>
    <t>Y4D7FR94UAT1</t>
  </si>
  <si>
    <t>10965</t>
  </si>
  <si>
    <t>10178</t>
  </si>
  <si>
    <t>Mary Ellen Halvorson Education Foundation</t>
  </si>
  <si>
    <t>5522 Side Rd</t>
  </si>
  <si>
    <t>863018483</t>
  </si>
  <si>
    <t>783351682</t>
  </si>
  <si>
    <t>NL9JTUNJL7U3</t>
  </si>
  <si>
    <t>90861</t>
  </si>
  <si>
    <t>10443</t>
  </si>
  <si>
    <t>4825 West Camelback Road</t>
  </si>
  <si>
    <t>85031-1414</t>
  </si>
  <si>
    <t>966140159</t>
  </si>
  <si>
    <t>XB1YKSKZCUF5</t>
  </si>
  <si>
    <t>79499</t>
  </si>
  <si>
    <t>10478</t>
  </si>
  <si>
    <t>Masada Charter School, Inc</t>
  </si>
  <si>
    <t>365 WEST CANNON AVENUE</t>
  </si>
  <si>
    <t>COLORADO CITY</t>
  </si>
  <si>
    <t>86021-6026</t>
  </si>
  <si>
    <t>034596036</t>
  </si>
  <si>
    <t>T3BLC2SAZ2L3</t>
  </si>
  <si>
    <t>89852</t>
  </si>
  <si>
    <t>2980 North Campbell, Suite 130</t>
  </si>
  <si>
    <t>85719-2897</t>
  </si>
  <si>
    <t>802849898</t>
  </si>
  <si>
    <t>JN2KYWKPL9Q6</t>
  </si>
  <si>
    <t>073705000</t>
  </si>
  <si>
    <t>90664</t>
  </si>
  <si>
    <t>Maxwell Preschool Academy - Stapley LLC</t>
  </si>
  <si>
    <t>15723</t>
  </si>
  <si>
    <t>1455 S Stapley Dr.</t>
  </si>
  <si>
    <t>85204</t>
  </si>
  <si>
    <t>073722000</t>
  </si>
  <si>
    <t>671386</t>
  </si>
  <si>
    <t>Maxwell Preschool Academy 5 L.L.C.</t>
  </si>
  <si>
    <t>10717</t>
  </si>
  <si>
    <t>Maxwell Preschool Academy 5LLC</t>
  </si>
  <si>
    <t>1949 E Brown Rd STE B6</t>
  </si>
  <si>
    <t>852035141</t>
  </si>
  <si>
    <t>DVF6D16N6F33</t>
  </si>
  <si>
    <t>4473</t>
  </si>
  <si>
    <t>11537</t>
  </si>
  <si>
    <t>Mayer Unified School District 43</t>
  </si>
  <si>
    <t>12606 E Main Street</t>
  </si>
  <si>
    <t>Mayer</t>
  </si>
  <si>
    <t>863339539</t>
  </si>
  <si>
    <t>18-255-0616</t>
  </si>
  <si>
    <t>EMFWLT4V6YG5</t>
  </si>
  <si>
    <t>81174</t>
  </si>
  <si>
    <t>12481</t>
  </si>
  <si>
    <t>Maricopa County Community College District dba Phoenix College</t>
  </si>
  <si>
    <t>1202 W Thomas Rd</t>
  </si>
  <si>
    <t>85013-4208</t>
  </si>
  <si>
    <t>021649017</t>
  </si>
  <si>
    <t>LM72QFMLZK81</t>
  </si>
  <si>
    <t>4163</t>
  </si>
  <si>
    <t>11113</t>
  </si>
  <si>
    <t>McNary Elementary School District</t>
  </si>
  <si>
    <t>108 N Pollack Ave</t>
  </si>
  <si>
    <t>McNary</t>
  </si>
  <si>
    <t>859300598</t>
  </si>
  <si>
    <t>867995987</t>
  </si>
  <si>
    <t>QRLJSJRA5JN8</t>
  </si>
  <si>
    <t>4181</t>
  </si>
  <si>
    <t>11149</t>
  </si>
  <si>
    <t>McNeal School District 55</t>
  </si>
  <si>
    <t>3979 McNeal St</t>
  </si>
  <si>
    <t>856170008</t>
  </si>
  <si>
    <t>002900629</t>
  </si>
  <si>
    <t>PJDLVFC3AN18</t>
  </si>
  <si>
    <t>078969000</t>
  </si>
  <si>
    <t>Mesa Academy for Advanced Studies, Inc., dba Mesa Academy for Advanced Studies</t>
  </si>
  <si>
    <t>4235</t>
  </si>
  <si>
    <t>11301</t>
  </si>
  <si>
    <t>Mesa Unified School District 4 DBA Mesa Public Schools</t>
  </si>
  <si>
    <t>63 E Main St STE101</t>
  </si>
  <si>
    <t>852017422</t>
  </si>
  <si>
    <t>078990504</t>
  </si>
  <si>
    <t>NSB2LFQHEQF5</t>
  </si>
  <si>
    <t>108745000</t>
  </si>
  <si>
    <t>Meta Academy Inc.</t>
  </si>
  <si>
    <t>5181</t>
  </si>
  <si>
    <t>10184</t>
  </si>
  <si>
    <t>Metropolitan Arts Institute</t>
  </si>
  <si>
    <t>1700 N. 7th Avenue</t>
  </si>
  <si>
    <t>85007-1702</t>
  </si>
  <si>
    <t>028119316</t>
  </si>
  <si>
    <t>VR1MCLW4KFK8</t>
  </si>
  <si>
    <t>4463</t>
  </si>
  <si>
    <t>10271</t>
  </si>
  <si>
    <t>Mexicayotl Academy of Excellence</t>
  </si>
  <si>
    <t>2059 N Grand Ave</t>
  </si>
  <si>
    <t>85621-1038</t>
  </si>
  <si>
    <t>007904167</t>
  </si>
  <si>
    <t>HNNZPK499534</t>
  </si>
  <si>
    <t>073324000</t>
  </si>
  <si>
    <t>93005</t>
  </si>
  <si>
    <t>Mi Escuelita Child Care LLC</t>
  </si>
  <si>
    <t>15799</t>
  </si>
  <si>
    <t>2747 W SOUTHERN AVE STE 4</t>
  </si>
  <si>
    <t>852824240</t>
  </si>
  <si>
    <t>4211</t>
  </si>
  <si>
    <t>11195</t>
  </si>
  <si>
    <t>Miami Area Unified School District 40</t>
  </si>
  <si>
    <t>4739 E Ragus Rd.</t>
  </si>
  <si>
    <t>Miami</t>
  </si>
  <si>
    <t>855398504</t>
  </si>
  <si>
    <t>074475849</t>
  </si>
  <si>
    <t>L8BRLLASELN1</t>
  </si>
  <si>
    <t>79994</t>
  </si>
  <si>
    <t>10425</t>
  </si>
  <si>
    <t>MIDTOWN PRIMARY CHARTER SCHOOL</t>
  </si>
  <si>
    <t>4735 N 19TH AVE</t>
  </si>
  <si>
    <t>85015-3725</t>
  </si>
  <si>
    <t>093096944</t>
  </si>
  <si>
    <t>LMHYT4KBPTC5</t>
  </si>
  <si>
    <t>79207</t>
  </si>
  <si>
    <t>10311</t>
  </si>
  <si>
    <t>4707 E Desert Cactus St</t>
  </si>
  <si>
    <t>85032-9529</t>
  </si>
  <si>
    <t>128301624</t>
  </si>
  <si>
    <t>RT2JCKWYJBG3</t>
  </si>
  <si>
    <t>102500000</t>
  </si>
  <si>
    <t>1002143</t>
  </si>
  <si>
    <t>Mindy Pena- M&amp;M Childcare (PDG)</t>
  </si>
  <si>
    <t>10857</t>
  </si>
  <si>
    <t>3432 S BRADFORD DR</t>
  </si>
  <si>
    <t>857351516</t>
  </si>
  <si>
    <t>138711000</t>
  </si>
  <si>
    <t>Mingus Mountain Estate Residential Center  Inc.</t>
  </si>
  <si>
    <t>4493</t>
  </si>
  <si>
    <t>10176</t>
  </si>
  <si>
    <t>3600 North Sunset Drive</t>
  </si>
  <si>
    <t>863235054</t>
  </si>
  <si>
    <t>933018053</t>
  </si>
  <si>
    <t>TNYULH5YDVJ8</t>
  </si>
  <si>
    <t>4488</t>
  </si>
  <si>
    <t>11539</t>
  </si>
  <si>
    <t>1801 E. Fir Street</t>
  </si>
  <si>
    <t>863264556</t>
  </si>
  <si>
    <t>100685403</t>
  </si>
  <si>
    <t>PFZUXC5N7BS1</t>
  </si>
  <si>
    <t>078904000</t>
  </si>
  <si>
    <t>78845</t>
  </si>
  <si>
    <t>Mission Charter School, Inc.</t>
  </si>
  <si>
    <t>10312</t>
  </si>
  <si>
    <t>069872799</t>
  </si>
  <si>
    <t>4253</t>
  </si>
  <si>
    <t>11303</t>
  </si>
  <si>
    <t>Mobile Elementary School District</t>
  </si>
  <si>
    <t>42798 S 99th Ave</t>
  </si>
  <si>
    <t>851392106</t>
  </si>
  <si>
    <t>002901718</t>
  </si>
  <si>
    <t>L8Q3SHGHMRA1</t>
  </si>
  <si>
    <t>041601000</t>
  </si>
  <si>
    <t>91842</t>
  </si>
  <si>
    <t>Mogollon Health Alliance Inc., a 501(c)3</t>
  </si>
  <si>
    <t>85516</t>
  </si>
  <si>
    <t>10516</t>
  </si>
  <si>
    <t>Mohave Accelerated Elementary School, Inc</t>
  </si>
  <si>
    <t>625 Marina Boulevard</t>
  </si>
  <si>
    <t>864425414</t>
  </si>
  <si>
    <t>859570868</t>
  </si>
  <si>
    <t>WFL2JUL1CMM1</t>
  </si>
  <si>
    <t>79498</t>
  </si>
  <si>
    <t>10420</t>
  </si>
  <si>
    <t>MOHAVE ACCELERATED LEARNING CENTER</t>
  </si>
  <si>
    <t>625 Marina Blvd</t>
  </si>
  <si>
    <t>112127621</t>
  </si>
  <si>
    <t>YHNED5C125R5</t>
  </si>
  <si>
    <t>089999001</t>
  </si>
  <si>
    <t>7652</t>
  </si>
  <si>
    <t>Mohave County Educational Service Center</t>
  </si>
  <si>
    <t>13273</t>
  </si>
  <si>
    <t>700 W BEALE ST</t>
  </si>
  <si>
    <t>KINGMAN</t>
  </si>
  <si>
    <t>864015711</t>
  </si>
  <si>
    <t>79589</t>
  </si>
  <si>
    <t>10760</t>
  </si>
  <si>
    <t>Mohave, County of</t>
  </si>
  <si>
    <t>700 W. Beale St.</t>
  </si>
  <si>
    <t>046491580</t>
  </si>
  <si>
    <t>V35YJGS4W9Y1</t>
  </si>
  <si>
    <t>79522</t>
  </si>
  <si>
    <t>4379</t>
  </si>
  <si>
    <t>11375</t>
  </si>
  <si>
    <t>Mohave Valley Elementary School District 16</t>
  </si>
  <si>
    <t>8450 Olive Ave</t>
  </si>
  <si>
    <t>Mohave Valley</t>
  </si>
  <si>
    <t>864409214</t>
  </si>
  <si>
    <t>789610805</t>
  </si>
  <si>
    <t>CDQXLV7RAK98</t>
  </si>
  <si>
    <t>4503</t>
  </si>
  <si>
    <t>11571</t>
  </si>
  <si>
    <t>Mohawk Valley School District</t>
  </si>
  <si>
    <t>5151 S. Avenue 39E</t>
  </si>
  <si>
    <t>Roll</t>
  </si>
  <si>
    <t>853479500</t>
  </si>
  <si>
    <t>020701975</t>
  </si>
  <si>
    <t>NAJ6GH1SETM9</t>
  </si>
  <si>
    <t>80011</t>
  </si>
  <si>
    <t>10426</t>
  </si>
  <si>
    <t>Montessori Academy Inc.</t>
  </si>
  <si>
    <t>6050 N Ivergordon Rd</t>
  </si>
  <si>
    <t>Paradise Valley</t>
  </si>
  <si>
    <t>85253-5248</t>
  </si>
  <si>
    <t>112045245</t>
  </si>
  <si>
    <t>GFLFALQ9ATN6</t>
  </si>
  <si>
    <t>4359</t>
  </si>
  <si>
    <t>10258</t>
  </si>
  <si>
    <t>Montessori Day Public Schools, Chartered</t>
  </si>
  <si>
    <t>9215 N 14th St</t>
  </si>
  <si>
    <t>850202713</t>
  </si>
  <si>
    <t>832421072</t>
  </si>
  <si>
    <t>EQVSD4LEWK73</t>
  </si>
  <si>
    <t>4363</t>
  </si>
  <si>
    <t>10262</t>
  </si>
  <si>
    <t>Montessori Ed Center Charter School</t>
  </si>
  <si>
    <t>2834 E. Southern Ave.</t>
  </si>
  <si>
    <t>85204-5517</t>
  </si>
  <si>
    <t>167236553</t>
  </si>
  <si>
    <t>YSBEWEDLYNH5</t>
  </si>
  <si>
    <t>078936000</t>
  </si>
  <si>
    <t>79548</t>
  </si>
  <si>
    <t>Montessori House, Inc. d.b.a. Lehi Montessori</t>
  </si>
  <si>
    <t>10487</t>
  </si>
  <si>
    <t>Montessori House, Inc.</t>
  </si>
  <si>
    <t>2415 N Terrace Circle</t>
  </si>
  <si>
    <t>852031220</t>
  </si>
  <si>
    <t>964904374</t>
  </si>
  <si>
    <t>108703000</t>
  </si>
  <si>
    <t>4428</t>
  </si>
  <si>
    <t>Montessori Schoolhouse of Tucson, Inc.</t>
  </si>
  <si>
    <t>10265</t>
  </si>
  <si>
    <t>111903000</t>
  </si>
  <si>
    <t>80972</t>
  </si>
  <si>
    <t>Moore Education Through Technology</t>
  </si>
  <si>
    <t>4230</t>
  </si>
  <si>
    <t>11227</t>
  </si>
  <si>
    <t>Morenci School District 18</t>
  </si>
  <si>
    <t>1 Stadium DR</t>
  </si>
  <si>
    <t>Morenci</t>
  </si>
  <si>
    <t>855409648</t>
  </si>
  <si>
    <t>077538049</t>
  </si>
  <si>
    <t>DN94XNVXCDX1</t>
  </si>
  <si>
    <t>90192</t>
  </si>
  <si>
    <t>10191</t>
  </si>
  <si>
    <t>Morrison Education Group Inc</t>
  </si>
  <si>
    <t>2675 W. Baseline RD</t>
  </si>
  <si>
    <t>850416493</t>
  </si>
  <si>
    <t>830774605</t>
  </si>
  <si>
    <t>DE42JW7J1B16</t>
  </si>
  <si>
    <t>078629000</t>
  </si>
  <si>
    <t>1002008</t>
  </si>
  <si>
    <t>10840</t>
  </si>
  <si>
    <t>SUN VALLEY ACADEMY - GLENDALE, INC.</t>
  </si>
  <si>
    <t>2675 W Baseline RD</t>
  </si>
  <si>
    <t>RDQVL7NCHJH7</t>
  </si>
  <si>
    <t>1001157</t>
  </si>
  <si>
    <t>10827</t>
  </si>
  <si>
    <t>SUN VALLEY ACADEMY - AVONDALE, INC.</t>
  </si>
  <si>
    <t>JEMRYMRSYMK8</t>
  </si>
  <si>
    <t>4251</t>
  </si>
  <si>
    <t>11305</t>
  </si>
  <si>
    <t>MORRISTOWN ELEMENTARY DISTRICT</t>
  </si>
  <si>
    <t>25950 Rockaway Hills DR</t>
  </si>
  <si>
    <t>Morristown</t>
  </si>
  <si>
    <t>853420098</t>
  </si>
  <si>
    <t>123812059</t>
  </si>
  <si>
    <t>LK2HAJ4WZNM4</t>
  </si>
  <si>
    <t>038703000</t>
  </si>
  <si>
    <t>Mountain English Spanish Academy  A Public Charter School</t>
  </si>
  <si>
    <t>130802000</t>
  </si>
  <si>
    <t>90090</t>
  </si>
  <si>
    <t>Mountain Institute CTED #2</t>
  </si>
  <si>
    <t>11559</t>
  </si>
  <si>
    <t>Mountain Institute Joint Technical Education District</t>
  </si>
  <si>
    <t>220 Ruger Road Suite 2</t>
  </si>
  <si>
    <t>863019114</t>
  </si>
  <si>
    <t>832347426</t>
  </si>
  <si>
    <t>PJWJJ9MQXHF5</t>
  </si>
  <si>
    <t>78873</t>
  </si>
  <si>
    <t>10259</t>
  </si>
  <si>
    <t>Mountain Oak Charter School</t>
  </si>
  <si>
    <t>1455 Willow Creek Rd.</t>
  </si>
  <si>
    <t>863011438</t>
  </si>
  <si>
    <t>070172205</t>
  </si>
  <si>
    <t>ZY25NSW4M4U6</t>
  </si>
  <si>
    <t>108769000</t>
  </si>
  <si>
    <t>10879</t>
  </si>
  <si>
    <t>Mountain Rose Academy, Inc.</t>
  </si>
  <si>
    <t>Mountain Rose Academy Inc</t>
  </si>
  <si>
    <t>3686 W Orange Grove Rd Ste 192</t>
  </si>
  <si>
    <t>4203</t>
  </si>
  <si>
    <t>10146</t>
  </si>
  <si>
    <t>311 W. Cattle Drive Trl</t>
  </si>
  <si>
    <t>860057060</t>
  </si>
  <si>
    <t>148972235</t>
  </si>
  <si>
    <t>F64HVMNT6CE8</t>
  </si>
  <si>
    <t>073329000</t>
  </si>
  <si>
    <t>958412</t>
  </si>
  <si>
    <t>MPA Dobson LLC</t>
  </si>
  <si>
    <t>10657</t>
  </si>
  <si>
    <t>2750 S. DOBSON ROAD</t>
  </si>
  <si>
    <t>85202</t>
  </si>
  <si>
    <t>108774000</t>
  </si>
  <si>
    <t>79058</t>
  </si>
  <si>
    <t>MultiDimensional Literacy Corp.</t>
  </si>
  <si>
    <t>10353</t>
  </si>
  <si>
    <t>5757 W AJO HWY</t>
  </si>
  <si>
    <t>857359334</t>
  </si>
  <si>
    <t>826119104</t>
  </si>
  <si>
    <t>4265</t>
  </si>
  <si>
    <t>11307</t>
  </si>
  <si>
    <t>Murphy School District No 21</t>
  </si>
  <si>
    <t>3140 West Buckeye Road</t>
  </si>
  <si>
    <t>85009-5637</t>
  </si>
  <si>
    <t>021652672</t>
  </si>
  <si>
    <t>WD37GFJN5XR8</t>
  </si>
  <si>
    <t>4176</t>
  </si>
  <si>
    <t>11151</t>
  </si>
  <si>
    <t>Naco Elementary School District #23</t>
  </si>
  <si>
    <t>1911 W Valenzuela</t>
  </si>
  <si>
    <t>Naco</t>
  </si>
  <si>
    <t>85620-0326</t>
  </si>
  <si>
    <t>002900637</t>
  </si>
  <si>
    <t>DARFCMBALGL9</t>
  </si>
  <si>
    <t>4252</t>
  </si>
  <si>
    <t>11309</t>
  </si>
  <si>
    <t>Nadaburg Unified School District NO. 81</t>
  </si>
  <si>
    <t>32919 Center St</t>
  </si>
  <si>
    <t>Wittman</t>
  </si>
  <si>
    <t>853619433</t>
  </si>
  <si>
    <t>100001734</t>
  </si>
  <si>
    <t>HKGBN17ZB476</t>
  </si>
  <si>
    <t>113022000</t>
  </si>
  <si>
    <t>91185</t>
  </si>
  <si>
    <t>Nanny's Daycare / Preschool Inc.</t>
  </si>
  <si>
    <t>15209</t>
  </si>
  <si>
    <t>306 E COTTONWOOD LN</t>
  </si>
  <si>
    <t>851222516</t>
  </si>
  <si>
    <t>204601000</t>
  </si>
  <si>
    <t>91206</t>
  </si>
  <si>
    <t>National Institute for School Leadership</t>
  </si>
  <si>
    <t>201602000</t>
  </si>
  <si>
    <t>91833</t>
  </si>
  <si>
    <t>National Math and Science</t>
  </si>
  <si>
    <t>927182548</t>
  </si>
  <si>
    <t>092006000</t>
  </si>
  <si>
    <t>80278</t>
  </si>
  <si>
    <t>Native American Christian Academy</t>
  </si>
  <si>
    <t>8450 S SUN VALLEY RD</t>
  </si>
  <si>
    <t>SUN VALLEY</t>
  </si>
  <si>
    <t>860294013</t>
  </si>
  <si>
    <t>031699001</t>
  </si>
  <si>
    <t>8517</t>
  </si>
  <si>
    <t>Native Americans for Community Action - NACA</t>
  </si>
  <si>
    <t>012002000</t>
  </si>
  <si>
    <t>80103</t>
  </si>
  <si>
    <t>Navajo Christian Preparatory Academy</t>
  </si>
  <si>
    <t>Navajo Evangelical Lutheran Mission, Inc.</t>
  </si>
  <si>
    <t>One Mission LN</t>
  </si>
  <si>
    <t>Rock Point</t>
  </si>
  <si>
    <t>865450354</t>
  </si>
  <si>
    <t>4386</t>
  </si>
  <si>
    <t>11411</t>
  </si>
  <si>
    <t>Navajo County Accommodation District</t>
  </si>
  <si>
    <t>294 W. Carlos</t>
  </si>
  <si>
    <t>az</t>
  </si>
  <si>
    <t>86025-1846</t>
  </si>
  <si>
    <t>078292838</t>
  </si>
  <si>
    <t>USJ9LN85KAV6</t>
  </si>
  <si>
    <t>099999001</t>
  </si>
  <si>
    <t>79191</t>
  </si>
  <si>
    <t>Navajo County School Superintendent</t>
  </si>
  <si>
    <t>13277</t>
  </si>
  <si>
    <t>Navajo County Schools Office</t>
  </si>
  <si>
    <t>100 E Code Talker's Dr</t>
  </si>
  <si>
    <t>86025-3479</t>
  </si>
  <si>
    <t>126437164</t>
  </si>
  <si>
    <t>G4QGFLL4NWL3</t>
  </si>
  <si>
    <t>211020000</t>
  </si>
  <si>
    <t>79536</t>
  </si>
  <si>
    <t>Navajo County School Superintendents Office</t>
  </si>
  <si>
    <t>79520</t>
  </si>
  <si>
    <t>11413</t>
  </si>
  <si>
    <t>Hope School</t>
  </si>
  <si>
    <t>100 Code talker's Dr</t>
  </si>
  <si>
    <t>860253479</t>
  </si>
  <si>
    <t>126407027</t>
  </si>
  <si>
    <t>JNTYPMSLJCJ3</t>
  </si>
  <si>
    <t>018760000</t>
  </si>
  <si>
    <t>78848</t>
  </si>
  <si>
    <t>Nazlini Community School, Inc.</t>
  </si>
  <si>
    <t>NAVAJO ROUTE 27</t>
  </si>
  <si>
    <t>193614989</t>
  </si>
  <si>
    <t>078276000</t>
  </si>
  <si>
    <t>93002</t>
  </si>
  <si>
    <t>New America School - Phoenix</t>
  </si>
  <si>
    <t>10626</t>
  </si>
  <si>
    <t>4711 E. Falcon Dr Suite 222</t>
  </si>
  <si>
    <t>852152508</t>
  </si>
  <si>
    <t>080119587</t>
  </si>
  <si>
    <t>078684000</t>
  </si>
  <si>
    <t>New Century Academy, LLC</t>
  </si>
  <si>
    <t>078555000</t>
  </si>
  <si>
    <t>90166</t>
  </si>
  <si>
    <t>New Destiny Leadership Charter School</t>
  </si>
  <si>
    <t>10192</t>
  </si>
  <si>
    <t>025145774</t>
  </si>
  <si>
    <t>103202000</t>
  </si>
  <si>
    <t>87073</t>
  </si>
  <si>
    <t>New Discoveries Preschool, LLC</t>
  </si>
  <si>
    <t>15583</t>
  </si>
  <si>
    <t>1109 W Prince Rd</t>
  </si>
  <si>
    <t>85705</t>
  </si>
  <si>
    <t>078691000</t>
  </si>
  <si>
    <t>145760</t>
  </si>
  <si>
    <t>New Horizon High School</t>
  </si>
  <si>
    <t>078617000</t>
  </si>
  <si>
    <t>1000165</t>
  </si>
  <si>
    <t>New Horizon High School, Inc.</t>
  </si>
  <si>
    <t>10753</t>
  </si>
  <si>
    <t>2200 N Arizona Ave. Suite 18</t>
  </si>
  <si>
    <t>852253452</t>
  </si>
  <si>
    <t>080876588</t>
  </si>
  <si>
    <t>C4UHLBFBDFT5</t>
  </si>
  <si>
    <t>4366</t>
  </si>
  <si>
    <t>10266</t>
  </si>
  <si>
    <t>446 E Broadway Rd</t>
  </si>
  <si>
    <t>85204-2020</t>
  </si>
  <si>
    <t>961174877</t>
  </si>
  <si>
    <t>X2GYRTGAUT18</t>
  </si>
  <si>
    <t>320470</t>
  </si>
  <si>
    <t>10697</t>
  </si>
  <si>
    <t>New Learning Ventures, Inc</t>
  </si>
  <si>
    <t>200 E Mitchell Dr</t>
  </si>
  <si>
    <t>85012-2387</t>
  </si>
  <si>
    <t>080888271</t>
  </si>
  <si>
    <t>M2QEEC4LNK66</t>
  </si>
  <si>
    <t>014011000</t>
  </si>
  <si>
    <t>85458</t>
  </si>
  <si>
    <t>New Mexico Navajo North Education Line Office</t>
  </si>
  <si>
    <t>14497</t>
  </si>
  <si>
    <t>4316</t>
  </si>
  <si>
    <t>10144</t>
  </si>
  <si>
    <t>New School for the Arts</t>
  </si>
  <si>
    <t>1216 E Apache Blvd</t>
  </si>
  <si>
    <t>852816005</t>
  </si>
  <si>
    <t>926851080</t>
  </si>
  <si>
    <t>GLYFBMB6AD98</t>
  </si>
  <si>
    <t>80985</t>
  </si>
  <si>
    <t>10492</t>
  </si>
  <si>
    <t>NEW SCHOOL FOR ARTS MIDDLE SCHOOL</t>
  </si>
  <si>
    <t>129779257</t>
  </si>
  <si>
    <t>CTZDYGK5ACK8</t>
  </si>
  <si>
    <t>138654000</t>
  </si>
  <si>
    <t>79234</t>
  </si>
  <si>
    <t>New Visions Academy, Inc.</t>
  </si>
  <si>
    <t>10322</t>
  </si>
  <si>
    <t>PO Box 1539</t>
  </si>
  <si>
    <t>863264239</t>
  </si>
  <si>
    <t>021650783</t>
  </si>
  <si>
    <t>108724000</t>
  </si>
  <si>
    <t>6358</t>
  </si>
  <si>
    <t>New West School</t>
  </si>
  <si>
    <t>10272</t>
  </si>
  <si>
    <t>028127459</t>
  </si>
  <si>
    <t>78882</t>
  </si>
  <si>
    <t>10339</t>
  </si>
  <si>
    <t>5818 N. 7th Street</t>
  </si>
  <si>
    <t>85014-5806</t>
  </si>
  <si>
    <t>159422732</t>
  </si>
  <si>
    <t>M6Y3JZE4L523</t>
  </si>
  <si>
    <t>073307000</t>
  </si>
  <si>
    <t>92202</t>
  </si>
  <si>
    <t>Ninas Family Child Care Llc</t>
  </si>
  <si>
    <t>3502 E INDIAN SCHOOL RD</t>
  </si>
  <si>
    <t>850185115</t>
  </si>
  <si>
    <t>Noah Webster Schools-Mesa</t>
  </si>
  <si>
    <t>7301 E. Baseline Rd</t>
  </si>
  <si>
    <t>85209</t>
  </si>
  <si>
    <t>806553301</t>
  </si>
  <si>
    <t>HPMPHYRFX5T5</t>
  </si>
  <si>
    <t>92374</t>
  </si>
  <si>
    <t>10136</t>
  </si>
  <si>
    <t>5399 N. Pima Rd</t>
  </si>
  <si>
    <t>852502620</t>
  </si>
  <si>
    <t>079189681</t>
  </si>
  <si>
    <t>H1TCZPAD25B3</t>
  </si>
  <si>
    <t>078986000</t>
  </si>
  <si>
    <t>Nobel Learning Communities, Inc.</t>
  </si>
  <si>
    <t>122910000</t>
  </si>
  <si>
    <t>1000404</t>
  </si>
  <si>
    <t>Nogales Community Development Corporation</t>
  </si>
  <si>
    <t>4457</t>
  </si>
  <si>
    <t>11495</t>
  </si>
  <si>
    <t>Nogales Unified School District 001</t>
  </si>
  <si>
    <t>310 W. Plum St.</t>
  </si>
  <si>
    <t>85621-2613</t>
  </si>
  <si>
    <t>100001759</t>
  </si>
  <si>
    <t>WDHKL46SJK46</t>
  </si>
  <si>
    <t>90879</t>
  </si>
  <si>
    <t>10567</t>
  </si>
  <si>
    <t>966139912</t>
  </si>
  <si>
    <t>CZKJMYHESLB6</t>
  </si>
  <si>
    <t>79701</t>
  </si>
  <si>
    <t>10404</t>
  </si>
  <si>
    <t>NORTH STAR CHARTER SCHOOL, INC.</t>
  </si>
  <si>
    <t>4200 N 99TH AVE</t>
  </si>
  <si>
    <t>85037-4332</t>
  </si>
  <si>
    <t>130787869</t>
  </si>
  <si>
    <t>P1GGR4LHZLH6</t>
  </si>
  <si>
    <t>090836000</t>
  </si>
  <si>
    <t>81114</t>
  </si>
  <si>
    <t>Northeast Arizona Technological Institute of Vocational Education</t>
  </si>
  <si>
    <t>11415</t>
  </si>
  <si>
    <t>Off Hwy 163 .6 Mile of Kayenta Ch On 3.4 Mile Bus Rte</t>
  </si>
  <si>
    <t>860330710</t>
  </si>
  <si>
    <t>169353583</t>
  </si>
  <si>
    <t>S5B6C8H4VE73</t>
  </si>
  <si>
    <t>138762000</t>
  </si>
  <si>
    <t>Northern Arizona Council of Government</t>
  </si>
  <si>
    <t>090835000</t>
  </si>
  <si>
    <t>78786</t>
  </si>
  <si>
    <t>Northern Arizona Vocational Institute of Technology</t>
  </si>
  <si>
    <t>11409</t>
  </si>
  <si>
    <t>951 W Snowflake Blvd</t>
  </si>
  <si>
    <t>Snowflake</t>
  </si>
  <si>
    <t>85937-5048</t>
  </si>
  <si>
    <t>191047716</t>
  </si>
  <si>
    <t>EAV5VJTLCGL1</t>
  </si>
  <si>
    <t>032602000</t>
  </si>
  <si>
    <t>6719</t>
  </si>
  <si>
    <t>Northern AZ Council Of Gov Headstart</t>
  </si>
  <si>
    <t>10708</t>
  </si>
  <si>
    <t>Northern Arizona Council of Governments</t>
  </si>
  <si>
    <t>119 East Aspen Ave</t>
  </si>
  <si>
    <t>860015222</t>
  </si>
  <si>
    <t>083716167</t>
  </si>
  <si>
    <t>090601000</t>
  </si>
  <si>
    <t>7701</t>
  </si>
  <si>
    <t>Northland Pioneer College</t>
  </si>
  <si>
    <t>12491</t>
  </si>
  <si>
    <t>2251 Navajo Blvd.</t>
  </si>
  <si>
    <t>860251824</t>
  </si>
  <si>
    <t>068421650</t>
  </si>
  <si>
    <t>UN7XD37BMGY5</t>
  </si>
  <si>
    <t>4204</t>
  </si>
  <si>
    <t>10324</t>
  </si>
  <si>
    <t>3300 E. Sparrow Ave.</t>
  </si>
  <si>
    <t>860046703</t>
  </si>
  <si>
    <t>960340883</t>
  </si>
  <si>
    <t>NP66LY4NFDF8</t>
  </si>
  <si>
    <t>072063000</t>
  </si>
  <si>
    <t>90424</t>
  </si>
  <si>
    <t>Northwest Christian School</t>
  </si>
  <si>
    <t>16401 N 43RD AVE</t>
  </si>
  <si>
    <t>850532705</t>
  </si>
  <si>
    <t>79881</t>
  </si>
  <si>
    <t>10410</t>
  </si>
  <si>
    <t>440 N Grande Ave</t>
  </si>
  <si>
    <t>857452703</t>
  </si>
  <si>
    <t>103839486</t>
  </si>
  <si>
    <t>M43KKFAP8KP8</t>
  </si>
  <si>
    <t>109999004</t>
  </si>
  <si>
    <t>87331</t>
  </si>
  <si>
    <t>Office of Pima County School Superintendent</t>
  </si>
  <si>
    <t>13305</t>
  </si>
  <si>
    <t>130 W Congress St</t>
  </si>
  <si>
    <t>857011317</t>
  </si>
  <si>
    <t>148038813</t>
  </si>
  <si>
    <t>108790000</t>
  </si>
  <si>
    <t>79502</t>
  </si>
  <si>
    <t>Old Pueblo Children's Academy</t>
  </si>
  <si>
    <t>10480</t>
  </si>
  <si>
    <t>103149000</t>
  </si>
  <si>
    <t>92329</t>
  </si>
  <si>
    <t>Oldford LLC dba Kids First Preschool and Child Care Center #2</t>
  </si>
  <si>
    <t>15283</t>
  </si>
  <si>
    <t>8185 E 22ND ST</t>
  </si>
  <si>
    <t>857108511</t>
  </si>
  <si>
    <t>078563000</t>
  </si>
  <si>
    <t>90326</t>
  </si>
  <si>
    <t>Ombudsman Educational Services, LTD, a subsidiary of Educational Services of Ame</t>
  </si>
  <si>
    <t>10608</t>
  </si>
  <si>
    <t>078767000</t>
  </si>
  <si>
    <t>4323</t>
  </si>
  <si>
    <t>Ombudsman Educational Services, Ltd.,a subsidiary of Educational Services of Ame</t>
  </si>
  <si>
    <t>10261</t>
  </si>
  <si>
    <t>Ombudsman Educational Services Ltd. DBA Crystal Lakes Bridges Academy</t>
  </si>
  <si>
    <t>28100 N Ashley Circle Suite 102</t>
  </si>
  <si>
    <t>Libertyville</t>
  </si>
  <si>
    <t>IL</t>
  </si>
  <si>
    <t>600489478</t>
  </si>
  <si>
    <t>010230175</t>
  </si>
  <si>
    <t>EF3KSXAUXG16</t>
  </si>
  <si>
    <t>79503</t>
  </si>
  <si>
    <t>10481</t>
  </si>
  <si>
    <t>1402 N San Antonio AVE</t>
  </si>
  <si>
    <t>85607-2434</t>
  </si>
  <si>
    <t>100676852</t>
  </si>
  <si>
    <t>L2RJRMB8LBK3</t>
  </si>
  <si>
    <t>078603000</t>
  </si>
  <si>
    <t>4295</t>
  </si>
  <si>
    <t>OMEGA SCHOOLS d.b.a. Omega Academy, Inc.</t>
  </si>
  <si>
    <t>10264</t>
  </si>
  <si>
    <t>8632 W NORTHERN AVE</t>
  </si>
  <si>
    <t>853051308</t>
  </si>
  <si>
    <t>003791154</t>
  </si>
  <si>
    <t>1001719</t>
  </si>
  <si>
    <t>10818</t>
  </si>
  <si>
    <t>2929 N Central Ave FL 2</t>
  </si>
  <si>
    <t>85012-2782</t>
  </si>
  <si>
    <t>ZPBLSU3CVG57</t>
  </si>
  <si>
    <t>108512000</t>
  </si>
  <si>
    <t>91238</t>
  </si>
  <si>
    <t>Open Doors Community School, Inc.</t>
  </si>
  <si>
    <t>10614</t>
  </si>
  <si>
    <t>Open Doors Community School</t>
  </si>
  <si>
    <t>13644 N SANDARIO RD  STE B</t>
  </si>
  <si>
    <t>856538580</t>
  </si>
  <si>
    <t>078510113</t>
  </si>
  <si>
    <t>078557000</t>
  </si>
  <si>
    <t>90195</t>
  </si>
  <si>
    <t>Opportunities for Youth, Inc.</t>
  </si>
  <si>
    <t>10597</t>
  </si>
  <si>
    <t>808065630</t>
  </si>
  <si>
    <t>4444</t>
  </si>
  <si>
    <t>11477</t>
  </si>
  <si>
    <t>Oracle School District</t>
  </si>
  <si>
    <t>2618 W. El Paseo</t>
  </si>
  <si>
    <t>Oracle</t>
  </si>
  <si>
    <t>856236192</t>
  </si>
  <si>
    <t>002902906</t>
  </si>
  <si>
    <t>HH8BXN95P4V4</t>
  </si>
  <si>
    <t>4262</t>
  </si>
  <si>
    <t>11311</t>
  </si>
  <si>
    <t>County of Maricopa Osborn School District #8 DBA Osboen Middle School</t>
  </si>
  <si>
    <t>1226 W OSBORN RD</t>
  </si>
  <si>
    <t>850133618</t>
  </si>
  <si>
    <t>183866920</t>
  </si>
  <si>
    <t>EGL2NK34UR78</t>
  </si>
  <si>
    <t>072008000</t>
  </si>
  <si>
    <t>80120</t>
  </si>
  <si>
    <t>Our Lady of Perpetual Help School</t>
  </si>
  <si>
    <t>15085</t>
  </si>
  <si>
    <t>The Roman Catholic Church of Phoenix</t>
  </si>
  <si>
    <t>7521 N. 57th Ave</t>
  </si>
  <si>
    <t>853011311</t>
  </si>
  <si>
    <t>1072281851</t>
  </si>
  <si>
    <t>102041000</t>
  </si>
  <si>
    <t>92564</t>
  </si>
  <si>
    <t>Our Mother of Sorrows Church</t>
  </si>
  <si>
    <t>073293000</t>
  </si>
  <si>
    <t>9534</t>
  </si>
  <si>
    <t>Out of this World Christian Child Care, Inc.</t>
  </si>
  <si>
    <t>14737</t>
  </si>
  <si>
    <t>3849 W ENCANTO BLVD</t>
  </si>
  <si>
    <t>850091242</t>
  </si>
  <si>
    <t>4373</t>
  </si>
  <si>
    <t>11377</t>
  </si>
  <si>
    <t>OWENS-WHITNEY SCHOOL DISTRICT 6 BOARD OF TRUSTEES</t>
  </si>
  <si>
    <t>14109 E Chicken Springs RD</t>
  </si>
  <si>
    <t>Wikieup</t>
  </si>
  <si>
    <t>853600038</t>
  </si>
  <si>
    <t>002902294</t>
  </si>
  <si>
    <t>KAXCELTPCE11</t>
  </si>
  <si>
    <t>6235</t>
  </si>
  <si>
    <t>10276</t>
  </si>
  <si>
    <t>2504 South 91st Ave.</t>
  </si>
  <si>
    <t>Tolleson</t>
  </si>
  <si>
    <t>85353-8921</t>
  </si>
  <si>
    <t>603862983</t>
  </si>
  <si>
    <t>CK6BAYAKB9V7</t>
  </si>
  <si>
    <t>078220000</t>
  </si>
  <si>
    <t>P.V. Montessori Schools</t>
  </si>
  <si>
    <t>10586</t>
  </si>
  <si>
    <t>79068</t>
  </si>
  <si>
    <t>10345</t>
  </si>
  <si>
    <t>Pace Preparatory Academy</t>
  </si>
  <si>
    <t>830 S. Main St.</t>
  </si>
  <si>
    <t>86326-4621</t>
  </si>
  <si>
    <t>070235827</t>
  </si>
  <si>
    <t>UBZFQEJ8T8M4</t>
  </si>
  <si>
    <t>4196</t>
  </si>
  <si>
    <t>11181</t>
  </si>
  <si>
    <t>500 S Navajo Dr.</t>
  </si>
  <si>
    <t>860401397</t>
  </si>
  <si>
    <t>072430986</t>
  </si>
  <si>
    <t>RH8XDJN8Z7M6</t>
  </si>
  <si>
    <t>79086</t>
  </si>
  <si>
    <t>10473</t>
  </si>
  <si>
    <t>145 Leupp RD</t>
  </si>
  <si>
    <t>86004-8501</t>
  </si>
  <si>
    <t>131687134</t>
  </si>
  <si>
    <t>MU15YNJ2WNE5</t>
  </si>
  <si>
    <t>078278000</t>
  </si>
  <si>
    <t>123733</t>
  </si>
  <si>
    <t>Painted Desert Montessori, LLC</t>
  </si>
  <si>
    <t>10809</t>
  </si>
  <si>
    <t>PAINTED DESERT MONTESSORI, LLC</t>
  </si>
  <si>
    <t>2400 S 247th Ave</t>
  </si>
  <si>
    <t>853269628</t>
  </si>
  <si>
    <t>080237240</t>
  </si>
  <si>
    <t>10967</t>
  </si>
  <si>
    <t>10295</t>
  </si>
  <si>
    <t>2100 Willow Creek Road</t>
  </si>
  <si>
    <t>86301-5391</t>
  </si>
  <si>
    <t>069871825</t>
  </si>
  <si>
    <t>DANEBVAQV9B8</t>
  </si>
  <si>
    <t>4275</t>
  </si>
  <si>
    <t>11313</t>
  </si>
  <si>
    <t>Palo Verde Elementary School</t>
  </si>
  <si>
    <t>10700 S Palo Verde RD</t>
  </si>
  <si>
    <t>Palo Verde</t>
  </si>
  <si>
    <t>85343</t>
  </si>
  <si>
    <t>002901833</t>
  </si>
  <si>
    <t>NEKQDYH9JHN3</t>
  </si>
  <si>
    <t>4255</t>
  </si>
  <si>
    <t>11315</t>
  </si>
  <si>
    <t>Paloma Elementary School District 94</t>
  </si>
  <si>
    <t>38739 W I 8</t>
  </si>
  <si>
    <t>853373022</t>
  </si>
  <si>
    <t>805170610</t>
  </si>
  <si>
    <t>M5X3QCZV4V61</t>
  </si>
  <si>
    <t>4180</t>
  </si>
  <si>
    <t>11153</t>
  </si>
  <si>
    <t>6849 HWY 92</t>
  </si>
  <si>
    <t>Hereford</t>
  </si>
  <si>
    <t>856159284</t>
  </si>
  <si>
    <t>002900652</t>
  </si>
  <si>
    <t>QCS5GN9NC2B7</t>
  </si>
  <si>
    <t>79578</t>
  </si>
  <si>
    <t>10482</t>
  </si>
  <si>
    <t>PAN-AMERICAN ELEMENTARY CHARTER SCHOOL</t>
  </si>
  <si>
    <t>8305 W Thomas RD</t>
  </si>
  <si>
    <t>85037-3498</t>
  </si>
  <si>
    <t>112851840</t>
  </si>
  <si>
    <t>TDW9U3NH3V57</t>
  </si>
  <si>
    <t>108795000</t>
  </si>
  <si>
    <t>Pantano Public Charter Middle School</t>
  </si>
  <si>
    <t>4241</t>
  </si>
  <si>
    <t>11317</t>
  </si>
  <si>
    <t>Paradise Valley Unified School District 69</t>
  </si>
  <si>
    <t>15002 N. 32nd St</t>
  </si>
  <si>
    <t>850324441</t>
  </si>
  <si>
    <t>055449482</t>
  </si>
  <si>
    <t>LR62YBRKL6N3</t>
  </si>
  <si>
    <t>5180</t>
  </si>
  <si>
    <t>10186</t>
  </si>
  <si>
    <t>Paragon Management Center</t>
  </si>
  <si>
    <t>15533 W PARADISE LN</t>
  </si>
  <si>
    <t>SURPRISE</t>
  </si>
  <si>
    <t>853745851</t>
  </si>
  <si>
    <t>027949432</t>
  </si>
  <si>
    <t>F7DFZ73J3288</t>
  </si>
  <si>
    <t>078905000</t>
  </si>
  <si>
    <t>79205</t>
  </si>
  <si>
    <t>Paramount Education Studies Inc</t>
  </si>
  <si>
    <t>10269</t>
  </si>
  <si>
    <t>11039 West Olive Avenue</t>
  </si>
  <si>
    <t>853459200</t>
  </si>
  <si>
    <t>078747529</t>
  </si>
  <si>
    <t>HAAEMWMYFJF5</t>
  </si>
  <si>
    <t>138755000</t>
  </si>
  <si>
    <t>10970</t>
  </si>
  <si>
    <t>Park View School, Inc.</t>
  </si>
  <si>
    <t>10282</t>
  </si>
  <si>
    <t>9030 E. Florentine Road</t>
  </si>
  <si>
    <t>863148973</t>
  </si>
  <si>
    <t>860916352</t>
  </si>
  <si>
    <t>NSLBXXGHXGJ3</t>
  </si>
  <si>
    <t>4510</t>
  </si>
  <si>
    <t>11233</t>
  </si>
  <si>
    <t>Parker Unified School District 27</t>
  </si>
  <si>
    <t>1608 S LAGUNA AVE</t>
  </si>
  <si>
    <t>85344-6360</t>
  </si>
  <si>
    <t>020695144</t>
  </si>
  <si>
    <t>JEJHL5KYCMT5</t>
  </si>
  <si>
    <t>79953</t>
  </si>
  <si>
    <t>10453</t>
  </si>
  <si>
    <t>PAS Charter Inc.</t>
  </si>
  <si>
    <t>2222 W Northern Ave STE A110</t>
  </si>
  <si>
    <t>85021-5697</t>
  </si>
  <si>
    <t>005307661</t>
  </si>
  <si>
    <t>J7WFBRT1PEA6</t>
  </si>
  <si>
    <t>4460</t>
  </si>
  <si>
    <t>11497</t>
  </si>
  <si>
    <t>Patagonia Elementary School</t>
  </si>
  <si>
    <t>200 W. Naugle Ave.</t>
  </si>
  <si>
    <t>Patagonia</t>
  </si>
  <si>
    <t>85624</t>
  </si>
  <si>
    <t>193318714</t>
  </si>
  <si>
    <t>RJJNUVCG99J5</t>
  </si>
  <si>
    <t>79069</t>
  </si>
  <si>
    <t>10343</t>
  </si>
  <si>
    <t>Patagonia Montessori Elementary School, Inc.</t>
  </si>
  <si>
    <t>500 N 3rd Ave</t>
  </si>
  <si>
    <t>85624-6122</t>
  </si>
  <si>
    <t>130195162</t>
  </si>
  <si>
    <t>XWYNH7R9MU23</t>
  </si>
  <si>
    <t>128702000</t>
  </si>
  <si>
    <t>Patagonia Montessori Middle School</t>
  </si>
  <si>
    <t>4462</t>
  </si>
  <si>
    <t>11499</t>
  </si>
  <si>
    <t>932329360</t>
  </si>
  <si>
    <t>XMLKUTQN1T76</t>
  </si>
  <si>
    <t>79024</t>
  </si>
  <si>
    <t>10330</t>
  </si>
  <si>
    <t>85051-5303</t>
  </si>
  <si>
    <t>615326407</t>
  </si>
  <si>
    <t>NKH6LLALGJG5</t>
  </si>
  <si>
    <t>92983</t>
  </si>
  <si>
    <t>10773</t>
  </si>
  <si>
    <t>PATHWAYS IN EDUCATION - ARIZONA, INC</t>
  </si>
  <si>
    <t>2226 N 7th St</t>
  </si>
  <si>
    <t>85006-1604</t>
  </si>
  <si>
    <t>080063559</t>
  </si>
  <si>
    <t>LZL4QGEVEJV7</t>
  </si>
  <si>
    <t>078280000</t>
  </si>
  <si>
    <t>78890</t>
  </si>
  <si>
    <t>Pathways KM Charter Schools, Inc</t>
  </si>
  <si>
    <t>10308</t>
  </si>
  <si>
    <t>3705 BEAVER CREEK RD</t>
  </si>
  <si>
    <t>RIMROCK</t>
  </si>
  <si>
    <t>86335</t>
  </si>
  <si>
    <t>790619204</t>
  </si>
  <si>
    <t>078733000</t>
  </si>
  <si>
    <t>81024</t>
  </si>
  <si>
    <t>Patriot Academy, Inc.</t>
  </si>
  <si>
    <t>10333</t>
  </si>
  <si>
    <t>19011 E SAN TAN BLVD STE 101</t>
  </si>
  <si>
    <t>851427301</t>
  </si>
  <si>
    <t>130783447</t>
  </si>
  <si>
    <t>1002013</t>
  </si>
  <si>
    <t>10844</t>
  </si>
  <si>
    <t>1601 W. Main Street</t>
  </si>
  <si>
    <t>852016910</t>
  </si>
  <si>
    <t>040210700</t>
  </si>
  <si>
    <t>4861</t>
  </si>
  <si>
    <t>Payson Center for Success</t>
  </si>
  <si>
    <t>10147</t>
  </si>
  <si>
    <t>501 S McLane</t>
  </si>
  <si>
    <t>PAYSON</t>
  </si>
  <si>
    <t>855414727</t>
  </si>
  <si>
    <t>361281368</t>
  </si>
  <si>
    <t>4209</t>
  </si>
  <si>
    <t>11197</t>
  </si>
  <si>
    <t>Payson Unified School District</t>
  </si>
  <si>
    <t>902 West Main Street</t>
  </si>
  <si>
    <t>Payson</t>
  </si>
  <si>
    <t>85541-4887</t>
  </si>
  <si>
    <t>002901098</t>
  </si>
  <si>
    <t>MLH5F4N8DMX1</t>
  </si>
  <si>
    <t>4369</t>
  </si>
  <si>
    <t>11379</t>
  </si>
  <si>
    <t>Peach Springs Unified School District</t>
  </si>
  <si>
    <t>403 Diamond Creek Road</t>
  </si>
  <si>
    <t>Peach Springs</t>
  </si>
  <si>
    <t>86434</t>
  </si>
  <si>
    <t>100095108</t>
  </si>
  <si>
    <t>K3DNKVDKZKR7</t>
  </si>
  <si>
    <t>038702000</t>
  </si>
  <si>
    <t>79866</t>
  </si>
  <si>
    <t>PEAK School Inc., The</t>
  </si>
  <si>
    <t>10421</t>
  </si>
  <si>
    <t>The PEAK School, Inc.</t>
  </si>
  <si>
    <t>2016 N. 1st Street, STE B</t>
  </si>
  <si>
    <t>860044241</t>
  </si>
  <si>
    <t>930223438</t>
  </si>
  <si>
    <t>U24UVHN8JJ18</t>
  </si>
  <si>
    <t>4186</t>
  </si>
  <si>
    <t>11155</t>
  </si>
  <si>
    <t>Pearce Elementary School District</t>
  </si>
  <si>
    <t>1487 E School Road</t>
  </si>
  <si>
    <t>85625-6188</t>
  </si>
  <si>
    <t>078992476</t>
  </si>
  <si>
    <t>KRU2MGW77LN8</t>
  </si>
  <si>
    <t>4283</t>
  </si>
  <si>
    <t>11319</t>
  </si>
  <si>
    <t>PENDERGAST ELEMENTARY SCHOOL DISTRICT 92</t>
  </si>
  <si>
    <t>3802 N 91ST AVE</t>
  </si>
  <si>
    <t>850372368</t>
  </si>
  <si>
    <t>182687756</t>
  </si>
  <si>
    <t>FT6BFLMJNJM4</t>
  </si>
  <si>
    <t>92972</t>
  </si>
  <si>
    <t>10642</t>
  </si>
  <si>
    <t>6135 N Black Canyon HWY</t>
  </si>
  <si>
    <t>850151828</t>
  </si>
  <si>
    <t>079970340</t>
  </si>
  <si>
    <t>D4ZLLRC6JBY5</t>
  </si>
  <si>
    <t>4237</t>
  </si>
  <si>
    <t>11321</t>
  </si>
  <si>
    <t>Peoria Unified School District 11</t>
  </si>
  <si>
    <t>6330 W. Thunderbird Rd.</t>
  </si>
  <si>
    <t>85306-4002</t>
  </si>
  <si>
    <t>074447673</t>
  </si>
  <si>
    <t>QF5ELNJFBVS3</t>
  </si>
  <si>
    <t>042002000</t>
  </si>
  <si>
    <t>80130</t>
  </si>
  <si>
    <t>Peridot/Our Saviors Lutheran Elementary School</t>
  </si>
  <si>
    <t>15109</t>
  </si>
  <si>
    <t>Hwy 170-1 mi. N of Hwy 70</t>
  </si>
  <si>
    <t>Peridot</t>
  </si>
  <si>
    <t>85542</t>
  </si>
  <si>
    <t>078714000</t>
  </si>
  <si>
    <t>4338</t>
  </si>
  <si>
    <t>Phoenix Advantage Charter School, Inc.</t>
  </si>
  <si>
    <t>10270</t>
  </si>
  <si>
    <t>Phoenix Advantage Charter School</t>
  </si>
  <si>
    <t>3738 N. 16th Street</t>
  </si>
  <si>
    <t>850165915</t>
  </si>
  <si>
    <t>003790461</t>
  </si>
  <si>
    <t>DK5EA8NNY865</t>
  </si>
  <si>
    <t>078719000</t>
  </si>
  <si>
    <t>Phoenix Birthing Project dba The Village HS</t>
  </si>
  <si>
    <t>078941000</t>
  </si>
  <si>
    <t>Phoenix College Preparatory High School</t>
  </si>
  <si>
    <t>078966000</t>
  </si>
  <si>
    <t>Phoenix Day</t>
  </si>
  <si>
    <t>15113</t>
  </si>
  <si>
    <t>4340</t>
  </si>
  <si>
    <t>10483</t>
  </si>
  <si>
    <t>Pioneer Technology &amp; Arts Academy of Arizona</t>
  </si>
  <si>
    <t>1903 E Roeser Rd.</t>
  </si>
  <si>
    <t>850403341</t>
  </si>
  <si>
    <t>118255409</t>
  </si>
  <si>
    <t>QNJRHZ8LE5R3</t>
  </si>
  <si>
    <t>4256</t>
  </si>
  <si>
    <t>11323</t>
  </si>
  <si>
    <t>Phoenix Elementary School District 1</t>
  </si>
  <si>
    <t>1817 N. 7th Street</t>
  </si>
  <si>
    <t>850062133</t>
  </si>
  <si>
    <t>07984473</t>
  </si>
  <si>
    <t>P5F9QKQ82MX8</t>
  </si>
  <si>
    <t>071999003</t>
  </si>
  <si>
    <t>8637</t>
  </si>
  <si>
    <t>Phoenix Indian Center, Inc.</t>
  </si>
  <si>
    <t>15115</t>
  </si>
  <si>
    <t>4520 N CENTRAL AVE STE 250</t>
  </si>
  <si>
    <t>850041142</t>
  </si>
  <si>
    <t>074461476</t>
  </si>
  <si>
    <t>903484</t>
  </si>
  <si>
    <t>10699</t>
  </si>
  <si>
    <t>4310 E Broadway Rd</t>
  </si>
  <si>
    <t>85040-8808</t>
  </si>
  <si>
    <t>080834846</t>
  </si>
  <si>
    <t>FULJQWGZMGN3</t>
  </si>
  <si>
    <t>074403000</t>
  </si>
  <si>
    <t>80515</t>
  </si>
  <si>
    <t>Phoenix Office of Arts and Culture</t>
  </si>
  <si>
    <t>6379</t>
  </si>
  <si>
    <t>10274</t>
  </si>
  <si>
    <t>Phoenix School of Academic Excellence</t>
  </si>
  <si>
    <t>5312 N 12TH ST STE 302</t>
  </si>
  <si>
    <t>85014-2926</t>
  </si>
  <si>
    <t>029758948</t>
  </si>
  <si>
    <t>JGNEPR4P9VD9</t>
  </si>
  <si>
    <t>4286</t>
  </si>
  <si>
    <t>11325</t>
  </si>
  <si>
    <t>PHOENIX UNION HIGH SCHOOL DISTRICT NO 210</t>
  </si>
  <si>
    <t>4502 N CENTRAL AVE</t>
  </si>
  <si>
    <t>85012-1817</t>
  </si>
  <si>
    <t>074488990</t>
  </si>
  <si>
    <t>J55DZJKWLBG6</t>
  </si>
  <si>
    <t>4452</t>
  </si>
  <si>
    <t>11479</t>
  </si>
  <si>
    <t>Picacho Elementary School District 33</t>
  </si>
  <si>
    <t>17865 S Vail Rd</t>
  </si>
  <si>
    <t>Picacho</t>
  </si>
  <si>
    <t>851414113</t>
  </si>
  <si>
    <t>795152768</t>
  </si>
  <si>
    <t>K4DCR8GM7MK5</t>
  </si>
  <si>
    <t>87334</t>
  </si>
  <si>
    <t>10531</t>
  </si>
  <si>
    <t>Pillar Charter School DBA Pillar Academy for Business &amp; Finance</t>
  </si>
  <si>
    <t>8433 N Black Canyon Hwy, Suite 160</t>
  </si>
  <si>
    <t>850214861</t>
  </si>
  <si>
    <t>829223960</t>
  </si>
  <si>
    <t>MB9HK1J58YT8</t>
  </si>
  <si>
    <t>100601001</t>
  </si>
  <si>
    <t>7871</t>
  </si>
  <si>
    <t>Pima Community College</t>
  </si>
  <si>
    <t>12501</t>
  </si>
  <si>
    <t>Pima County Community College District</t>
  </si>
  <si>
    <t>4905 East Broadway</t>
  </si>
  <si>
    <t>857091010</t>
  </si>
  <si>
    <t>068414630</t>
  </si>
  <si>
    <t>H77GBPTJEPX3</t>
  </si>
  <si>
    <t>4420</t>
  </si>
  <si>
    <t>10267</t>
  </si>
  <si>
    <t>175 W Irvington RD</t>
  </si>
  <si>
    <t>85714-3050</t>
  </si>
  <si>
    <t>008044567</t>
  </si>
  <si>
    <t>D593JYZZRK25</t>
  </si>
  <si>
    <t>4401</t>
  </si>
  <si>
    <t>11453</t>
  </si>
  <si>
    <t>Pima County Superintendent of Schools</t>
  </si>
  <si>
    <t>193614682</t>
  </si>
  <si>
    <t>Q8UZWV7MS6H3</t>
  </si>
  <si>
    <t>101899001</t>
  </si>
  <si>
    <t>9707</t>
  </si>
  <si>
    <t>Pima County Adult Probation</t>
  </si>
  <si>
    <t>13309</t>
  </si>
  <si>
    <t>Arizona Superior Court in Pima County</t>
  </si>
  <si>
    <t>110 W Congreaz St Rm 132</t>
  </si>
  <si>
    <t>784892879</t>
  </si>
  <si>
    <t>DRKHHJ35SXM7</t>
  </si>
  <si>
    <t>100811000</t>
  </si>
  <si>
    <t>89380</t>
  </si>
  <si>
    <t>Pima County JTED</t>
  </si>
  <si>
    <t>11585</t>
  </si>
  <si>
    <t>Pima County JTED Dist 11</t>
  </si>
  <si>
    <t>2855 W. Master Pieces Dr.</t>
  </si>
  <si>
    <t>85741-3789</t>
  </si>
  <si>
    <t>809130243</t>
  </si>
  <si>
    <t>UKPUBL8DM346</t>
  </si>
  <si>
    <t>101001000</t>
  </si>
  <si>
    <t>80138</t>
  </si>
  <si>
    <t>Pima County Juvenile Court Center</t>
  </si>
  <si>
    <t>11455</t>
  </si>
  <si>
    <t>Pima County Juvenile Court</t>
  </si>
  <si>
    <t>2225 E. Ajo Way</t>
  </si>
  <si>
    <t>Arzona</t>
  </si>
  <si>
    <t>857136201</t>
  </si>
  <si>
    <t>036412182</t>
  </si>
  <si>
    <t>HE3EBN5MNKV8</t>
  </si>
  <si>
    <t>90536</t>
  </si>
  <si>
    <t>10559</t>
  </si>
  <si>
    <t>Pima Prevention Partnership - PPP</t>
  </si>
  <si>
    <t>1477 W Commerce CT</t>
  </si>
  <si>
    <t>857466016</t>
  </si>
  <si>
    <t>795465301</t>
  </si>
  <si>
    <t>JKRMNLBTPN28</t>
  </si>
  <si>
    <t>109498000</t>
  </si>
  <si>
    <t>Pima Prevention Partnership - Phoenix</t>
  </si>
  <si>
    <t>109497000</t>
  </si>
  <si>
    <t>92994</t>
  </si>
  <si>
    <t>Pima Prevention Partnership - Tucson</t>
  </si>
  <si>
    <t>89864</t>
  </si>
  <si>
    <t>10402</t>
  </si>
  <si>
    <t>79959</t>
  </si>
  <si>
    <t>10416</t>
  </si>
  <si>
    <t>108602000</t>
  </si>
  <si>
    <t>90997</t>
  </si>
  <si>
    <t>Pima Rose Academy, Inc.</t>
  </si>
  <si>
    <t>10571</t>
  </si>
  <si>
    <t>Pima Rose Academy, Inc</t>
  </si>
  <si>
    <t>109998000</t>
  </si>
  <si>
    <t>4402</t>
  </si>
  <si>
    <t>Pima Special Programs</t>
  </si>
  <si>
    <t>11435</t>
  </si>
  <si>
    <t>PIMA COUNTY ADMINISTRATION</t>
  </si>
  <si>
    <t>130 W Congress ST</t>
  </si>
  <si>
    <t>Tucson,</t>
  </si>
  <si>
    <t>F4A1E2SDLJR5</t>
  </si>
  <si>
    <t>4220</t>
  </si>
  <si>
    <t>11215</t>
  </si>
  <si>
    <t>Pima Unified School District 6</t>
  </si>
  <si>
    <t>192 E 200 S</t>
  </si>
  <si>
    <t>855430429</t>
  </si>
  <si>
    <t>100642578</t>
  </si>
  <si>
    <t>P3XUNQ7HJ495</t>
  </si>
  <si>
    <t>211022000</t>
  </si>
  <si>
    <t>79534</t>
  </si>
  <si>
    <t>Pinal County Juvenile Detention</t>
  </si>
  <si>
    <t>111099000</t>
  </si>
  <si>
    <t>79192</t>
  </si>
  <si>
    <t>Pinal County School Superintendent</t>
  </si>
  <si>
    <t>13321</t>
  </si>
  <si>
    <t>PINAL COUNTY SCHOOL</t>
  </si>
  <si>
    <t>75 N Bailey St</t>
  </si>
  <si>
    <t>85132</t>
  </si>
  <si>
    <t>932399090</t>
  </si>
  <si>
    <t>GFKKSP5KS3W4</t>
  </si>
  <si>
    <t>111799001</t>
  </si>
  <si>
    <t>10077</t>
  </si>
  <si>
    <t>Pinal County School Superintendent Consortium</t>
  </si>
  <si>
    <t>13317</t>
  </si>
  <si>
    <t>PINAL COUNTY OF SCHOOL SUPERINTENDENT</t>
  </si>
  <si>
    <t>79516</t>
  </si>
  <si>
    <t>110199000</t>
  </si>
  <si>
    <t>Pinal County Special Education Program</t>
  </si>
  <si>
    <t>4201</t>
  </si>
  <si>
    <t>10151</t>
  </si>
  <si>
    <t>PINE FOREST EDU ASSOC. INC.</t>
  </si>
  <si>
    <t>2257 E. Cedar Ave.</t>
  </si>
  <si>
    <t>860041918</t>
  </si>
  <si>
    <t>178467130</t>
  </si>
  <si>
    <t>P1LLF3UXDWA8</t>
  </si>
  <si>
    <t>4214</t>
  </si>
  <si>
    <t>11199</t>
  </si>
  <si>
    <t>County of GIla 12 School Distirct Pine Strawberry School</t>
  </si>
  <si>
    <t>3868 N Pine Creek Dr</t>
  </si>
  <si>
    <t>Pine</t>
  </si>
  <si>
    <t>855445544</t>
  </si>
  <si>
    <t>002901114</t>
  </si>
  <si>
    <t>SDMNYRVQ1AY3</t>
  </si>
  <si>
    <t>118704000</t>
  </si>
  <si>
    <t>81011</t>
  </si>
  <si>
    <t>Pinnacle Education-Casa Grande, Inc.</t>
  </si>
  <si>
    <t>10508</t>
  </si>
  <si>
    <t>2224 W Southern Ave Suite1</t>
  </si>
  <si>
    <t>852824635</t>
  </si>
  <si>
    <t>078730000</t>
  </si>
  <si>
    <t>Pinnacle Education-DS  Inc.</t>
  </si>
  <si>
    <t>078728000</t>
  </si>
  <si>
    <t>Pinnacle Education-FA  Inc.</t>
  </si>
  <si>
    <t>128701000</t>
  </si>
  <si>
    <t>81009</t>
  </si>
  <si>
    <t>Pinnacle Education-Kino, Inc.</t>
  </si>
  <si>
    <t>10507</t>
  </si>
  <si>
    <t>2224 W Southern Ave Suite 1</t>
  </si>
  <si>
    <t>078720000</t>
  </si>
  <si>
    <t>80999</t>
  </si>
  <si>
    <t>Pinnacle Education-Mesa, Inc.</t>
  </si>
  <si>
    <t>10511</t>
  </si>
  <si>
    <t>078726000</t>
  </si>
  <si>
    <t>81001</t>
  </si>
  <si>
    <t>Pinnacle Education-Tempe, Inc.</t>
  </si>
  <si>
    <t>10510</t>
  </si>
  <si>
    <t>2224 W. Southern Ave Suit 1</t>
  </si>
  <si>
    <t>078729000</t>
  </si>
  <si>
    <t>Pinnacle Education-WMAA  Inc.</t>
  </si>
  <si>
    <t>078920000</t>
  </si>
  <si>
    <t>79439</t>
  </si>
  <si>
    <t>Pinnacle Education-WMCB, Inc.</t>
  </si>
  <si>
    <t>10469</t>
  </si>
  <si>
    <t>093915000</t>
  </si>
  <si>
    <t>80375</t>
  </si>
  <si>
    <t>Pinon Community School Board</t>
  </si>
  <si>
    <t>15155</t>
  </si>
  <si>
    <t>159420728</t>
  </si>
  <si>
    <t>4390</t>
  </si>
  <si>
    <t>11399</t>
  </si>
  <si>
    <t>Pinon Unified School District</t>
  </si>
  <si>
    <t>1 Mi N Pinon HWY 41</t>
  </si>
  <si>
    <t>Pinon</t>
  </si>
  <si>
    <t>86510-0839</t>
  </si>
  <si>
    <t>185938263</t>
  </si>
  <si>
    <t>VVQ2WTDB2KK3</t>
  </si>
  <si>
    <t>90140</t>
  </si>
  <si>
    <t>10189</t>
  </si>
  <si>
    <t>6510 W CLARENDON AVE</t>
  </si>
  <si>
    <t>850334001</t>
  </si>
  <si>
    <t>165737441</t>
  </si>
  <si>
    <t>SNBYH6NELBJ1</t>
  </si>
  <si>
    <t>138701000</t>
  </si>
  <si>
    <t>Pitman Resources, LLC</t>
  </si>
  <si>
    <t>078404000</t>
  </si>
  <si>
    <t>91285</t>
  </si>
  <si>
    <t>PLC Arts Academy at Glendale, Inc</t>
  </si>
  <si>
    <t>10574</t>
  </si>
  <si>
    <t>078270374</t>
  </si>
  <si>
    <t>078598000</t>
  </si>
  <si>
    <t>91053</t>
  </si>
  <si>
    <t>PLC Arts Academy at Scottsdale, Inc.</t>
  </si>
  <si>
    <t>10456</t>
  </si>
  <si>
    <t>2504 S. 91st Ave.</t>
  </si>
  <si>
    <t>853538921</t>
  </si>
  <si>
    <t>017895284</t>
  </si>
  <si>
    <t>79455</t>
  </si>
  <si>
    <t>10470</t>
  </si>
  <si>
    <t>POINTE SCHOOLS</t>
  </si>
  <si>
    <t>10215 N 43rd Avenue</t>
  </si>
  <si>
    <t>850511025</t>
  </si>
  <si>
    <t>150132319</t>
  </si>
  <si>
    <t>P9HZAMWMDEY1</t>
  </si>
  <si>
    <t>4188</t>
  </si>
  <si>
    <t>11157</t>
  </si>
  <si>
    <t>POMERENE SCHOOL DISTRICT 64</t>
  </si>
  <si>
    <t>1396 N. OLD POMERENE ROAD</t>
  </si>
  <si>
    <t>BENSON</t>
  </si>
  <si>
    <t>856027921</t>
  </si>
  <si>
    <t>002900744</t>
  </si>
  <si>
    <t>PSBND81AM6T7</t>
  </si>
  <si>
    <t>4431</t>
  </si>
  <si>
    <t>10152</t>
  </si>
  <si>
    <t>Portable Practical Education Preparati</t>
  </si>
  <si>
    <t>802 E 46th St</t>
  </si>
  <si>
    <t>857135006</t>
  </si>
  <si>
    <t>092671866</t>
  </si>
  <si>
    <t>C15RWPNMH747</t>
  </si>
  <si>
    <t>87405</t>
  </si>
  <si>
    <t>10530</t>
  </si>
  <si>
    <t>Portable Practical Educational Preparation</t>
  </si>
  <si>
    <t>802 E 46TH ST</t>
  </si>
  <si>
    <t>073011000</t>
  </si>
  <si>
    <t>80991</t>
  </si>
  <si>
    <t>Precious Treasures Childcare, LLC</t>
  </si>
  <si>
    <t>4939 W RAY RD # 21</t>
  </si>
  <si>
    <t>852262071</t>
  </si>
  <si>
    <t>134824544</t>
  </si>
  <si>
    <t>078670000</t>
  </si>
  <si>
    <t>79217</t>
  </si>
  <si>
    <t>Precision Academy Systems, Inc</t>
  </si>
  <si>
    <t>10275</t>
  </si>
  <si>
    <t>3906 E BROADWAY RD STE 105</t>
  </si>
  <si>
    <t>850402996</t>
  </si>
  <si>
    <t>79569</t>
  </si>
  <si>
    <t>10484</t>
  </si>
  <si>
    <t>Premier High School</t>
  </si>
  <si>
    <t>7544 W. Indian School RD</t>
  </si>
  <si>
    <t>850333030</t>
  </si>
  <si>
    <t>038561150</t>
  </si>
  <si>
    <t>G1EUX14AGYZ9</t>
  </si>
  <si>
    <t>1002029</t>
  </si>
  <si>
    <t>10858</t>
  </si>
  <si>
    <t>459 N Gilbert Rd Ste A-213</t>
  </si>
  <si>
    <t>85234-4771</t>
  </si>
  <si>
    <t>DKPVHC9HXBF5</t>
  </si>
  <si>
    <t>143021000</t>
  </si>
  <si>
    <t>88450</t>
  </si>
  <si>
    <t>Preschool Express, LLC</t>
  </si>
  <si>
    <t>15778</t>
  </si>
  <si>
    <t>183 E 24th St Ste 8</t>
  </si>
  <si>
    <t>85364-8575</t>
  </si>
  <si>
    <t>198536976</t>
  </si>
  <si>
    <t>EHV2M6FNBG44</t>
  </si>
  <si>
    <t>130602000</t>
  </si>
  <si>
    <t>79418</t>
  </si>
  <si>
    <t>Prescott College</t>
  </si>
  <si>
    <t>220 Grove Avenue</t>
  </si>
  <si>
    <t xml:space="preserve">PRESCOTT  </t>
  </si>
  <si>
    <t>863012912</t>
  </si>
  <si>
    <t>83716639</t>
  </si>
  <si>
    <t>4466</t>
  </si>
  <si>
    <t>11541</t>
  </si>
  <si>
    <t>Prescott Unified School District 1</t>
  </si>
  <si>
    <t>300 E. Gurley St.</t>
  </si>
  <si>
    <t>86301-3823</t>
  </si>
  <si>
    <t>10095405</t>
  </si>
  <si>
    <t>VYFKZQ6AJTB4</t>
  </si>
  <si>
    <t>88317</t>
  </si>
  <si>
    <t>10198</t>
  </si>
  <si>
    <t>9500 E Lorna LN</t>
  </si>
  <si>
    <t>863142324</t>
  </si>
  <si>
    <t>832102425</t>
  </si>
  <si>
    <t>D13QQKNYKAC1</t>
  </si>
  <si>
    <t>4425</t>
  </si>
  <si>
    <t>10263</t>
  </si>
  <si>
    <t>1695 E. Ft. Lowell Rd.</t>
  </si>
  <si>
    <t>85719-2319</t>
  </si>
  <si>
    <t>968813873</t>
  </si>
  <si>
    <t>LB6YDM6DB6J9</t>
  </si>
  <si>
    <t>108509000</t>
  </si>
  <si>
    <t>90539</t>
  </si>
  <si>
    <t>Presidio School, Inc.</t>
  </si>
  <si>
    <t>10562</t>
  </si>
  <si>
    <t>1695 E FORT LOWELL</t>
  </si>
  <si>
    <t>857192319</t>
  </si>
  <si>
    <t>108508000</t>
  </si>
  <si>
    <t>Presidio School, Inc. (Artisan)</t>
  </si>
  <si>
    <t>10561</t>
  </si>
  <si>
    <t>101905000</t>
  </si>
  <si>
    <t>80533</t>
  </si>
  <si>
    <t>Prime School, Inc.</t>
  </si>
  <si>
    <t>078965000</t>
  </si>
  <si>
    <t>Progressive Junior High School Inc.</t>
  </si>
  <si>
    <t>078789000</t>
  </si>
  <si>
    <t>Progressive Leadership Academy</t>
  </si>
  <si>
    <t>113011000</t>
  </si>
  <si>
    <t>Prospector Plus, Inc.</t>
  </si>
  <si>
    <t>15185</t>
  </si>
  <si>
    <t>1802 S IRONWOOD DR</t>
  </si>
  <si>
    <t>APACHE JCT</t>
  </si>
  <si>
    <t>851207419</t>
  </si>
  <si>
    <t>078232000</t>
  </si>
  <si>
    <t>92616</t>
  </si>
  <si>
    <t>PS Charter Schools, Inc.</t>
  </si>
  <si>
    <t>10600</t>
  </si>
  <si>
    <t>550 Warner Rd</t>
  </si>
  <si>
    <t>852254364</t>
  </si>
  <si>
    <t>079263861</t>
  </si>
  <si>
    <t>033704000</t>
  </si>
  <si>
    <t>1002072</t>
  </si>
  <si>
    <t>Quality Connections</t>
  </si>
  <si>
    <t>10851</t>
  </si>
  <si>
    <t>3012 E Route 66</t>
  </si>
  <si>
    <t>860043936</t>
  </si>
  <si>
    <t>4511</t>
  </si>
  <si>
    <t>11235</t>
  </si>
  <si>
    <t>Quartzsite Elementary School District 4</t>
  </si>
  <si>
    <t>49241 Ehrenberg Parker RD</t>
  </si>
  <si>
    <t>Ehrenberg</t>
  </si>
  <si>
    <t>ARIZ</t>
  </si>
  <si>
    <t>853340130</t>
  </si>
  <si>
    <t>100598465</t>
  </si>
  <si>
    <t>G6MUW5NUSUT4</t>
  </si>
  <si>
    <t>4245</t>
  </si>
  <si>
    <t>11327</t>
  </si>
  <si>
    <t>Queen Creek Unified School District #95</t>
  </si>
  <si>
    <t>20217 E. Chandler Heights Road</t>
  </si>
  <si>
    <t>85142-9521</t>
  </si>
  <si>
    <t>0018458489</t>
  </si>
  <si>
    <t>V9NPJQUELGB7</t>
  </si>
  <si>
    <t>073445000</t>
  </si>
  <si>
    <t>80621</t>
  </si>
  <si>
    <t>R.J.M. Management, Inc., dba Sunbright Children Center</t>
  </si>
  <si>
    <t>4834 W GLENDALE AVE</t>
  </si>
  <si>
    <t>853012734</t>
  </si>
  <si>
    <t>108402000</t>
  </si>
  <si>
    <t>Rainbow Foundation</t>
  </si>
  <si>
    <t>10583</t>
  </si>
  <si>
    <t>142208000</t>
  </si>
  <si>
    <t>92797</t>
  </si>
  <si>
    <t>Rainbow Preschool and Daycare</t>
  </si>
  <si>
    <t>15779</t>
  </si>
  <si>
    <t>Rainbow Preschool / Daycare</t>
  </si>
  <si>
    <t>1405 E. San Francisco St.</t>
  </si>
  <si>
    <t>832417609</t>
  </si>
  <si>
    <t>211023000</t>
  </si>
  <si>
    <t>79590</t>
  </si>
  <si>
    <t>Ray of Light Academy</t>
  </si>
  <si>
    <t>10725</t>
  </si>
  <si>
    <t>Santa Cruz County of Board of Supervisors</t>
  </si>
  <si>
    <t>2150 N Congress Drive Suite 118</t>
  </si>
  <si>
    <t>856211090</t>
  </si>
  <si>
    <t>079002606</t>
  </si>
  <si>
    <t>4438</t>
  </si>
  <si>
    <t>11481</t>
  </si>
  <si>
    <t>Ray Unified School District 3</t>
  </si>
  <si>
    <t>701 N Hwy 177</t>
  </si>
  <si>
    <t>Kearny</t>
  </si>
  <si>
    <t>851375007</t>
  </si>
  <si>
    <t>100001916</t>
  </si>
  <si>
    <t>SJKWHFR8LCN1</t>
  </si>
  <si>
    <t>4159</t>
  </si>
  <si>
    <t>11115</t>
  </si>
  <si>
    <t>Red Mesa Unified School District No. 27</t>
  </si>
  <si>
    <t>HWY 160 Milepost 448</t>
  </si>
  <si>
    <t>Teec Nos Pos</t>
  </si>
  <si>
    <t>865149600</t>
  </si>
  <si>
    <t>124552753</t>
  </si>
  <si>
    <t>KBHJQL7WAKS5</t>
  </si>
  <si>
    <t>4447</t>
  </si>
  <si>
    <t>11483</t>
  </si>
  <si>
    <t>RED ROCK ELEMENTARY SCHOOL DISTRICT</t>
  </si>
  <si>
    <t>20854 E HOMESTEAD DR</t>
  </si>
  <si>
    <t>RED ROCK</t>
  </si>
  <si>
    <t>85145</t>
  </si>
  <si>
    <t>100001924</t>
  </si>
  <si>
    <t>F45SUKWBWES1</t>
  </si>
  <si>
    <t>100344000</t>
  </si>
  <si>
    <t>4417</t>
  </si>
  <si>
    <t>Redington Elementary District</t>
  </si>
  <si>
    <t>11103</t>
  </si>
  <si>
    <t>REDINGTON ELEMENTARY SCHOOL DISTRICT NO 44</t>
  </si>
  <si>
    <t>130 W CONGRESS ST 4TH FL</t>
  </si>
  <si>
    <t>PHWHBKDN9CA5</t>
  </si>
  <si>
    <t>071917000</t>
  </si>
  <si>
    <t>88332</t>
  </si>
  <si>
    <t>Rehoboth CDC</t>
  </si>
  <si>
    <t>071974000</t>
  </si>
  <si>
    <t>92335</t>
  </si>
  <si>
    <t>Rehoboth Children's Learning Center</t>
  </si>
  <si>
    <t>15777</t>
  </si>
  <si>
    <t>6501 N 27th Ave</t>
  </si>
  <si>
    <t>850171243</t>
  </si>
  <si>
    <t>025145412</t>
  </si>
  <si>
    <t>91317</t>
  </si>
  <si>
    <t>10587</t>
  </si>
  <si>
    <t>Reid Traditional Schools Painted Rock Academy Inc</t>
  </si>
  <si>
    <t>1520 W Rose Garden LN</t>
  </si>
  <si>
    <t>850273529</t>
  </si>
  <si>
    <t>019923345</t>
  </si>
  <si>
    <t>H9DRVXWC2MT4</t>
  </si>
  <si>
    <t>4306</t>
  </si>
  <si>
    <t>10158</t>
  </si>
  <si>
    <t>VALLEY ACADEMY, INC.</t>
  </si>
  <si>
    <t>1520 W Rose Garden LANE</t>
  </si>
  <si>
    <t>928203769</t>
  </si>
  <si>
    <t>K2QYCERJMFV9</t>
  </si>
  <si>
    <t>078955000</t>
  </si>
  <si>
    <t>ReInventEd, Inc. dba Scottech Charter High School</t>
  </si>
  <si>
    <t>071619000</t>
  </si>
  <si>
    <t>92688</t>
  </si>
  <si>
    <t>Release The Fear, Inc.</t>
  </si>
  <si>
    <t>14451</t>
  </si>
  <si>
    <t>332 W LYNWOOD ST</t>
  </si>
  <si>
    <t>850031207</t>
  </si>
  <si>
    <t>017998283</t>
  </si>
  <si>
    <t>018756000</t>
  </si>
  <si>
    <t>Renaissance Educational Consortium  Inc.</t>
  </si>
  <si>
    <t>90275</t>
  </si>
  <si>
    <t>10166</t>
  </si>
  <si>
    <t>Research Based Education Corportaion</t>
  </si>
  <si>
    <t>24850 N Naples ST</t>
  </si>
  <si>
    <t>Paulden</t>
  </si>
  <si>
    <t>86334-2839</t>
  </si>
  <si>
    <t>016830942</t>
  </si>
  <si>
    <t>DTMWFX7JMCZ1</t>
  </si>
  <si>
    <t>078681000</t>
  </si>
  <si>
    <t>Richard Milburn Charter High School, Inc.</t>
  </si>
  <si>
    <t>4301</t>
  </si>
  <si>
    <t>10160</t>
  </si>
  <si>
    <t>33625 N North Valley Pkwy</t>
  </si>
  <si>
    <t>850854229</t>
  </si>
  <si>
    <t>847770666</t>
  </si>
  <si>
    <t>W3MDTY4J3D75</t>
  </si>
  <si>
    <t>073503000</t>
  </si>
  <si>
    <t>84316</t>
  </si>
  <si>
    <t>Rincon Learning Center LLC</t>
  </si>
  <si>
    <t>15199</t>
  </si>
  <si>
    <t>Rincon Learnig Center, LLC</t>
  </si>
  <si>
    <t>5643 S 7th Avenue</t>
  </si>
  <si>
    <t>850414836</t>
  </si>
  <si>
    <t>003767790</t>
  </si>
  <si>
    <t>070601007</t>
  </si>
  <si>
    <t>7276</t>
  </si>
  <si>
    <t>Rio Salado</t>
  </si>
  <si>
    <t>12421</t>
  </si>
  <si>
    <t>Maricopa County Community College Distri</t>
  </si>
  <si>
    <t>2323 W 14th Street</t>
  </si>
  <si>
    <t>852816950</t>
  </si>
  <si>
    <t>123804098</t>
  </si>
  <si>
    <t>MCQLGMSL9YM5</t>
  </si>
  <si>
    <t>108403000</t>
  </si>
  <si>
    <t>92049</t>
  </si>
  <si>
    <t>Rising Schools, Inc.</t>
  </si>
  <si>
    <t>10190</t>
  </si>
  <si>
    <t>Rising Schools, Inc</t>
  </si>
  <si>
    <t>7444 E Broadway Blvd</t>
  </si>
  <si>
    <t>857041411</t>
  </si>
  <si>
    <t>078760796</t>
  </si>
  <si>
    <t>071911000</t>
  </si>
  <si>
    <t>85143</t>
  </si>
  <si>
    <t>River Children Project, Inc.</t>
  </si>
  <si>
    <t>4257</t>
  </si>
  <si>
    <t>11329</t>
  </si>
  <si>
    <t>Riverside School District #2</t>
  </si>
  <si>
    <t>1414 S 51st Ave</t>
  </si>
  <si>
    <t>850438003</t>
  </si>
  <si>
    <t>084468990</t>
  </si>
  <si>
    <t>U3NFPCUK2WA8</t>
  </si>
  <si>
    <t>013904000</t>
  </si>
  <si>
    <t>80150</t>
  </si>
  <si>
    <t>Rock Point Community School</t>
  </si>
  <si>
    <t>15205</t>
  </si>
  <si>
    <t>HWY 191</t>
  </si>
  <si>
    <t>ROCK POINT</t>
  </si>
  <si>
    <t>865450560</t>
  </si>
  <si>
    <t>123890956</t>
  </si>
  <si>
    <t>138765000</t>
  </si>
  <si>
    <t>Rolling Hills Charter School</t>
  </si>
  <si>
    <t>4279</t>
  </si>
  <si>
    <t>11331</t>
  </si>
  <si>
    <t>Roosevelt School District</t>
  </si>
  <si>
    <t>6000 S. 7th St.</t>
  </si>
  <si>
    <t>850424209</t>
  </si>
  <si>
    <t>037621257</t>
  </si>
  <si>
    <t>FD6CBP5CTYR5</t>
  </si>
  <si>
    <t>92704</t>
  </si>
  <si>
    <t>10623</t>
  </si>
  <si>
    <t>555 South Jackrabbit Trail</t>
  </si>
  <si>
    <t>85326-6788</t>
  </si>
  <si>
    <t>079831266</t>
  </si>
  <si>
    <t>P8MELM2L9LB8</t>
  </si>
  <si>
    <t>87399</t>
  </si>
  <si>
    <t>10533</t>
  </si>
  <si>
    <t>Rosefield Charter Elementary</t>
  </si>
  <si>
    <t>12050 N. Bullard Avenue</t>
  </si>
  <si>
    <t>853796325</t>
  </si>
  <si>
    <t>615324543</t>
  </si>
  <si>
    <t>JR12W6R6JLF5</t>
  </si>
  <si>
    <t>014001000</t>
  </si>
  <si>
    <t>8477</t>
  </si>
  <si>
    <t>Rough Rock School Board, Inc.</t>
  </si>
  <si>
    <t>15215</t>
  </si>
  <si>
    <t>U S HWY 59</t>
  </si>
  <si>
    <t>CHINLE</t>
  </si>
  <si>
    <t>865030680</t>
  </si>
  <si>
    <t>077525640</t>
  </si>
  <si>
    <t>4155</t>
  </si>
  <si>
    <t>11117</t>
  </si>
  <si>
    <t>Round Valley Unified School District #10</t>
  </si>
  <si>
    <t>940 B E. Maricopa St</t>
  </si>
  <si>
    <t>Springerville</t>
  </si>
  <si>
    <t>85938</t>
  </si>
  <si>
    <t>123872798</t>
  </si>
  <si>
    <t>MSX3HNGBX5R1</t>
  </si>
  <si>
    <t>078735000</t>
  </si>
  <si>
    <t>81033</t>
  </si>
  <si>
    <t>RSD Charter School, Inc.</t>
  </si>
  <si>
    <t>10493</t>
  </si>
  <si>
    <t>13615 N 35th Avenue Ste 11</t>
  </si>
  <si>
    <t>Phoenix, Arizona</t>
  </si>
  <si>
    <t>850291243</t>
  </si>
  <si>
    <t>135270069</t>
  </si>
  <si>
    <t>UT7FQDU2P5U6</t>
  </si>
  <si>
    <t>020366000</t>
  </si>
  <si>
    <t>Rucker Elementary District</t>
  </si>
  <si>
    <t>073350000</t>
  </si>
  <si>
    <t>1000095</t>
  </si>
  <si>
    <t>Rugratz Ventures LLC</t>
  </si>
  <si>
    <t>10739</t>
  </si>
  <si>
    <t>3539 W BELL RD STE 11</t>
  </si>
  <si>
    <t>850532978</t>
  </si>
  <si>
    <t>078770000</t>
  </si>
  <si>
    <t>S.A.G.E. (School for the Advancement of Gifted Education)</t>
  </si>
  <si>
    <t>4449</t>
  </si>
  <si>
    <t>11485</t>
  </si>
  <si>
    <t>Sacaton Elementary School District</t>
  </si>
  <si>
    <t>92 S Skill Center Road</t>
  </si>
  <si>
    <t>Sacaton</t>
  </si>
  <si>
    <t>85147</t>
  </si>
  <si>
    <t>119686251</t>
  </si>
  <si>
    <t>FGH9YSJ58MN3</t>
  </si>
  <si>
    <t>4254</t>
  </si>
  <si>
    <t>11333</t>
  </si>
  <si>
    <t>38201 W Indian School RD</t>
  </si>
  <si>
    <t>Tonopah</t>
  </si>
  <si>
    <t>85354-7301</t>
  </si>
  <si>
    <t>609677971</t>
  </si>
  <si>
    <t>TX2RENUK3ZY7</t>
  </si>
  <si>
    <t>4218</t>
  </si>
  <si>
    <t>11217</t>
  </si>
  <si>
    <t>Safford Unified School District</t>
  </si>
  <si>
    <t>734 W. 11th St</t>
  </si>
  <si>
    <t>855462967</t>
  </si>
  <si>
    <t>002901247</t>
  </si>
  <si>
    <t>XDJMT3BJL8C4</t>
  </si>
  <si>
    <t>201601000</t>
  </si>
  <si>
    <t>91831</t>
  </si>
  <si>
    <t>Safran Publishing</t>
  </si>
  <si>
    <t>883886459</t>
  </si>
  <si>
    <t>89414</t>
  </si>
  <si>
    <t>10396</t>
  </si>
  <si>
    <t>Sage Academy Inc.</t>
  </si>
  <si>
    <t>10220 N 25th Ave</t>
  </si>
  <si>
    <t>850211605</t>
  </si>
  <si>
    <t>626950534</t>
  </si>
  <si>
    <t>FR9JPCLCY5K6</t>
  </si>
  <si>
    <t>073591000</t>
  </si>
  <si>
    <t>90387</t>
  </si>
  <si>
    <t>Sage Child Development Center, LLC</t>
  </si>
  <si>
    <t>15699</t>
  </si>
  <si>
    <t>SAGE CHILD DEVELOPMENT CENTER LLC</t>
  </si>
  <si>
    <t>12701 W Elm St</t>
  </si>
  <si>
    <t>853783620</t>
  </si>
  <si>
    <t>4411</t>
  </si>
  <si>
    <t>11437</t>
  </si>
  <si>
    <t>Sahuarita Unified School District #30</t>
  </si>
  <si>
    <t>350 W. Sahuarita Road</t>
  </si>
  <si>
    <t>85629-9000</t>
  </si>
  <si>
    <t>020135547</t>
  </si>
  <si>
    <t>L594MNCDBRN7</t>
  </si>
  <si>
    <t>4514</t>
  </si>
  <si>
    <t>11237</t>
  </si>
  <si>
    <t>Salome Consolidated Elementary School District #30</t>
  </si>
  <si>
    <t>38128 Saguaro ST</t>
  </si>
  <si>
    <t>85348</t>
  </si>
  <si>
    <t>189334709</t>
  </si>
  <si>
    <t>JQYHCKLMC4F7</t>
  </si>
  <si>
    <t>4320</t>
  </si>
  <si>
    <t>10149</t>
  </si>
  <si>
    <t>Salt River Pima-Maricopa Indian Community dba Salt River Pima-Maricopa Community Schools</t>
  </si>
  <si>
    <t>4815 N. Center St.</t>
  </si>
  <si>
    <t>85256-6401</t>
  </si>
  <si>
    <t>796875859</t>
  </si>
  <si>
    <t>CRN4QL93AHR3</t>
  </si>
  <si>
    <t>073488000</t>
  </si>
  <si>
    <t>80730</t>
  </si>
  <si>
    <t>Sam Mat Enterprises dba Tots Unlimited #26</t>
  </si>
  <si>
    <t>15247</t>
  </si>
  <si>
    <t>6390 N 59th Ave</t>
  </si>
  <si>
    <t>853014451</t>
  </si>
  <si>
    <t>133921515</t>
  </si>
  <si>
    <t>4210</t>
  </si>
  <si>
    <t>11201</t>
  </si>
  <si>
    <t>SAN CARLOS UNIFIED SCHOOL DISTRICT</t>
  </si>
  <si>
    <t>100 San Carlos AVE</t>
  </si>
  <si>
    <t>San Carlos</t>
  </si>
  <si>
    <t>85550</t>
  </si>
  <si>
    <t>179080841</t>
  </si>
  <si>
    <t>FFXXFLA94AB7</t>
  </si>
  <si>
    <t>4414</t>
  </si>
  <si>
    <t>11439</t>
  </si>
  <si>
    <t>SAN FERNANDO SCHOOL DISTRICT</t>
  </si>
  <si>
    <t>1 SchoolHouse DR</t>
  </si>
  <si>
    <t>Sasabe</t>
  </si>
  <si>
    <t>856330080</t>
  </si>
  <si>
    <t>002902765</t>
  </si>
  <si>
    <t>DX5SS4CMA4W7</t>
  </si>
  <si>
    <t>101908000</t>
  </si>
  <si>
    <t>85926</t>
  </si>
  <si>
    <t>San Miguel of Tucson Corp.</t>
  </si>
  <si>
    <t>6665 S SAN FERNANDO RD</t>
  </si>
  <si>
    <t>85756</t>
  </si>
  <si>
    <t>4172</t>
  </si>
  <si>
    <t>11159</t>
  </si>
  <si>
    <t>San Simon Unified School District 18</t>
  </si>
  <si>
    <t>2226 W Business I 10</t>
  </si>
  <si>
    <t>San Simon</t>
  </si>
  <si>
    <t>85632-9115</t>
  </si>
  <si>
    <t>074478371</t>
  </si>
  <si>
    <t>N8RQQ5XFKFX9</t>
  </si>
  <si>
    <t>89798</t>
  </si>
  <si>
    <t>10212</t>
  </si>
  <si>
    <t>San Tan Learning Center</t>
  </si>
  <si>
    <t>1475 S Higley Rd Ste 106</t>
  </si>
  <si>
    <t>852964783</t>
  </si>
  <si>
    <t>809766392</t>
  </si>
  <si>
    <t>FXLFTG1L67B1</t>
  </si>
  <si>
    <t>102007000</t>
  </si>
  <si>
    <t>80154</t>
  </si>
  <si>
    <t>San Xavier Mission School</t>
  </si>
  <si>
    <t>10776</t>
  </si>
  <si>
    <t>1980 W. San Xavier Road</t>
  </si>
  <si>
    <t>857467409</t>
  </si>
  <si>
    <t>041410858</t>
  </si>
  <si>
    <t>K184HEDC6V39</t>
  </si>
  <si>
    <t>4156</t>
  </si>
  <si>
    <t>11119</t>
  </si>
  <si>
    <t>Sanders Unified School District No. 18</t>
  </si>
  <si>
    <t>I-40 N HWY 191</t>
  </si>
  <si>
    <t>Sanders</t>
  </si>
  <si>
    <t>865120250</t>
  </si>
  <si>
    <t>100642594</t>
  </si>
  <si>
    <t>MXSLB6SCUAR5</t>
  </si>
  <si>
    <t>124401000</t>
  </si>
  <si>
    <t>88395</t>
  </si>
  <si>
    <t>Santa Cruz County Continuing Education</t>
  </si>
  <si>
    <t>13397</t>
  </si>
  <si>
    <t>85621</t>
  </si>
  <si>
    <t>UVLVR8CN2FM4</t>
  </si>
  <si>
    <t>120199000</t>
  </si>
  <si>
    <t>85848</t>
  </si>
  <si>
    <t>Santa Cruz County Regional School District</t>
  </si>
  <si>
    <t>11507</t>
  </si>
  <si>
    <t>622375025</t>
  </si>
  <si>
    <t>129999001</t>
  </si>
  <si>
    <t>79193</t>
  </si>
  <si>
    <t>Santa Cruz County School Superintendent</t>
  </si>
  <si>
    <t>13341</t>
  </si>
  <si>
    <t>79473</t>
  </si>
  <si>
    <t>10731</t>
  </si>
  <si>
    <t>4459</t>
  </si>
  <si>
    <t>11501</t>
  </si>
  <si>
    <t>Santa Cruz Elementary School District #28</t>
  </si>
  <si>
    <t>7 DUQUENSE RD</t>
  </si>
  <si>
    <t>NOGALES</t>
  </si>
  <si>
    <t>856210004</t>
  </si>
  <si>
    <t>002903086</t>
  </si>
  <si>
    <t>K5GJFJH2UKC4</t>
  </si>
  <si>
    <t>79066</t>
  </si>
  <si>
    <t>10371</t>
  </si>
  <si>
    <t>Santa Cruz Valley Opportu</t>
  </si>
  <si>
    <t>2875 E Frontage RD</t>
  </si>
  <si>
    <t>Amado</t>
  </si>
  <si>
    <t>856451600</t>
  </si>
  <si>
    <t>150374358</t>
  </si>
  <si>
    <t>K5L8RFMVLEN9</t>
  </si>
  <si>
    <t>4458</t>
  </si>
  <si>
    <t>11503</t>
  </si>
  <si>
    <t>Santa Cruz Valley Unified School District 35</t>
  </si>
  <si>
    <t>1374 W. Frontage Rd.</t>
  </si>
  <si>
    <t>Rio Rico</t>
  </si>
  <si>
    <t>856486377</t>
  </si>
  <si>
    <t>100598481</t>
  </si>
  <si>
    <t>XCGQCHM32SE9</t>
  </si>
  <si>
    <t>4454</t>
  </si>
  <si>
    <t>11487</t>
  </si>
  <si>
    <t>900 N Main St</t>
  </si>
  <si>
    <t>851312040</t>
  </si>
  <si>
    <t>002902963</t>
  </si>
  <si>
    <t>LZFNN2JG9V41</t>
  </si>
  <si>
    <t>85454</t>
  </si>
  <si>
    <t>10155</t>
  </si>
  <si>
    <t>Satori</t>
  </si>
  <si>
    <t>3801 N 1st Ave</t>
  </si>
  <si>
    <t>857191301</t>
  </si>
  <si>
    <t>621229731</t>
  </si>
  <si>
    <t>HGEDB7D86JL3</t>
  </si>
  <si>
    <t>79951</t>
  </si>
  <si>
    <t>10418</t>
  </si>
  <si>
    <t>IntelliSchool Charter High School Chandler</t>
  </si>
  <si>
    <t>1727 N Arizona Ave STE 5</t>
  </si>
  <si>
    <t>85225-7084</t>
  </si>
  <si>
    <t>004951627</t>
  </si>
  <si>
    <t>HDG6GTDKHLK4</t>
  </si>
  <si>
    <t>1000377</t>
  </si>
  <si>
    <t>10775</t>
  </si>
  <si>
    <t>1055 East Hearn Road</t>
  </si>
  <si>
    <t>85022-4332</t>
  </si>
  <si>
    <t>117194975</t>
  </si>
  <si>
    <t>CQXMUL8RSKD5</t>
  </si>
  <si>
    <t>019999000</t>
  </si>
  <si>
    <t>8358</t>
  </si>
  <si>
    <t>School Superintendent - Apache County</t>
  </si>
  <si>
    <t>P.O. Box 540</t>
  </si>
  <si>
    <t>ST. JOHNS</t>
  </si>
  <si>
    <t>859360548</t>
  </si>
  <si>
    <t>029999000</t>
  </si>
  <si>
    <t>8359</t>
  </si>
  <si>
    <t>School Superintendent - Cochise County</t>
  </si>
  <si>
    <t>Cochise County Of</t>
  </si>
  <si>
    <t>1415 Melody Ln BLDG G</t>
  </si>
  <si>
    <t>039999000</t>
  </si>
  <si>
    <t>8581</t>
  </si>
  <si>
    <t>School Superintendent - Coconino County</t>
  </si>
  <si>
    <t>049999000</t>
  </si>
  <si>
    <t>8360</t>
  </si>
  <si>
    <t>School Superintendent - Gila County</t>
  </si>
  <si>
    <t>059999000</t>
  </si>
  <si>
    <t>8604</t>
  </si>
  <si>
    <t>School Superintendent - Graham County</t>
  </si>
  <si>
    <t>County of Graham</t>
  </si>
  <si>
    <t>069999000</t>
  </si>
  <si>
    <t>8611</t>
  </si>
  <si>
    <t>School Superintendent - Greenlee County</t>
  </si>
  <si>
    <t>CLIFTON</t>
  </si>
  <si>
    <t>855331595</t>
  </si>
  <si>
    <t>159999000</t>
  </si>
  <si>
    <t>8368</t>
  </si>
  <si>
    <t>School Superintendent - La Paz County</t>
  </si>
  <si>
    <t>079999000</t>
  </si>
  <si>
    <t>9603</t>
  </si>
  <si>
    <t>School Superintendent - Maricopa County</t>
  </si>
  <si>
    <t>4041 North Central Avenue, Suite 1200</t>
  </si>
  <si>
    <t>089999000</t>
  </si>
  <si>
    <t>8361</t>
  </si>
  <si>
    <t>School Superintendent - Mohave County</t>
  </si>
  <si>
    <t>099999000</t>
  </si>
  <si>
    <t>8362</t>
  </si>
  <si>
    <t>School Superintendent - Navajo County</t>
  </si>
  <si>
    <t>109999000</t>
  </si>
  <si>
    <t>8363</t>
  </si>
  <si>
    <t>School Superintendent - Pima County</t>
  </si>
  <si>
    <t>PIMA COUNTY SUPERINTENDENT OF SCHOOLS</t>
  </si>
  <si>
    <t>119999000</t>
  </si>
  <si>
    <t>8364</t>
  </si>
  <si>
    <t>School Superintendent - Pinal County</t>
  </si>
  <si>
    <t>75 N. Bailey ST</t>
  </si>
  <si>
    <t>851323015</t>
  </si>
  <si>
    <t>129999000</t>
  </si>
  <si>
    <t>8365</t>
  </si>
  <si>
    <t>School Superintendent - Santa Cruz County</t>
  </si>
  <si>
    <t>826147340</t>
  </si>
  <si>
    <t>139999000</t>
  </si>
  <si>
    <t>8366</t>
  </si>
  <si>
    <t>School Superintendent - Yavapai County</t>
  </si>
  <si>
    <t>1015 FAIR ST STE 324</t>
  </si>
  <si>
    <t>PRESCOTT</t>
  </si>
  <si>
    <t>863051807</t>
  </si>
  <si>
    <t>135901093</t>
  </si>
  <si>
    <t>149999000</t>
  </si>
  <si>
    <t>8367</t>
  </si>
  <si>
    <t>School Superintendent - Yuma County</t>
  </si>
  <si>
    <t>193536984</t>
  </si>
  <si>
    <t>1000050</t>
  </si>
  <si>
    <t>10755</t>
  </si>
  <si>
    <t>Science Technology Engineering &amp; Math Arizona</t>
  </si>
  <si>
    <t>8323 E 22nd St.</t>
  </si>
  <si>
    <t>857106520</t>
  </si>
  <si>
    <t>071913357</t>
  </si>
  <si>
    <t>SATRZ3WMKS75</t>
  </si>
  <si>
    <t>91110</t>
  </si>
  <si>
    <t>15265</t>
  </si>
  <si>
    <t>10460 N 56th St</t>
  </si>
  <si>
    <t>85253-1133</t>
  </si>
  <si>
    <t>054223251</t>
  </si>
  <si>
    <t>NLQ4E6M7L4Q5</t>
  </si>
  <si>
    <t>078734000</t>
  </si>
  <si>
    <t>4350</t>
  </si>
  <si>
    <t>Scottsdale Horizons Charter School</t>
  </si>
  <si>
    <t>10154</t>
  </si>
  <si>
    <t>89756</t>
  </si>
  <si>
    <t>10285</t>
  </si>
  <si>
    <t>16537 N 92ND ST</t>
  </si>
  <si>
    <t>85260-1528</t>
  </si>
  <si>
    <t>802850706</t>
  </si>
  <si>
    <t>JQ9DBRJUQNN5</t>
  </si>
  <si>
    <t>4240</t>
  </si>
  <si>
    <t>11335</t>
  </si>
  <si>
    <t>Scottsdale Unified School District 48</t>
  </si>
  <si>
    <t>7575 E Main Street</t>
  </si>
  <si>
    <t>85251-4522</t>
  </si>
  <si>
    <t>020134276</t>
  </si>
  <si>
    <t>XNKPKH4MYH54</t>
  </si>
  <si>
    <t>4492</t>
  </si>
  <si>
    <t>10175</t>
  </si>
  <si>
    <t>Sedona Charter School</t>
  </si>
  <si>
    <t>165 Kachina Dr</t>
  </si>
  <si>
    <t>Sedona</t>
  </si>
  <si>
    <t>863364303</t>
  </si>
  <si>
    <t>003534190</t>
  </si>
  <si>
    <t>HA89C4D7BCG5</t>
  </si>
  <si>
    <t>4467</t>
  </si>
  <si>
    <t>11543</t>
  </si>
  <si>
    <t>Sedona-Oak Creek Joint USD 9</t>
  </si>
  <si>
    <t>221 Brewer Rd</t>
  </si>
  <si>
    <t>863366000</t>
  </si>
  <si>
    <t>932401367</t>
  </si>
  <si>
    <t>LWLMD76S8KK8</t>
  </si>
  <si>
    <t>92381</t>
  </si>
  <si>
    <t>10591</t>
  </si>
  <si>
    <t>1515 E. Indian School Road</t>
  </si>
  <si>
    <t>85014-4901</t>
  </si>
  <si>
    <t>079196806</t>
  </si>
  <si>
    <t>LCAHHLJQQSG5</t>
  </si>
  <si>
    <t>078796000</t>
  </si>
  <si>
    <t>79072</t>
  </si>
  <si>
    <t>Self Development Charter School</t>
  </si>
  <si>
    <t>1709 N Greenfield Road</t>
  </si>
  <si>
    <t>852053103</t>
  </si>
  <si>
    <t>078694000</t>
  </si>
  <si>
    <t>520359</t>
  </si>
  <si>
    <t>Self Development Eastmark Academy</t>
  </si>
  <si>
    <t>10710</t>
  </si>
  <si>
    <t>7930 E Baseline Road</t>
  </si>
  <si>
    <t>952095008</t>
  </si>
  <si>
    <t>080897766</t>
  </si>
  <si>
    <t>M7MUHMFAL931</t>
  </si>
  <si>
    <t>078695000</t>
  </si>
  <si>
    <t>308420</t>
  </si>
  <si>
    <t>Self Development Scottsdale Academy</t>
  </si>
  <si>
    <t>10709</t>
  </si>
  <si>
    <t>16635 N 51st. Avenue</t>
  </si>
  <si>
    <t>853061301</t>
  </si>
  <si>
    <t>080897560</t>
  </si>
  <si>
    <t>LGNLP3HZWWL3</t>
  </si>
  <si>
    <t>4472</t>
  </si>
  <si>
    <t>11545</t>
  </si>
  <si>
    <t>SELIGMAN UNIFIED SCHOOL DISTRICT</t>
  </si>
  <si>
    <t>500 Main ST</t>
  </si>
  <si>
    <t>Seligman</t>
  </si>
  <si>
    <t>863370650</t>
  </si>
  <si>
    <t>193318664</t>
  </si>
  <si>
    <t>UU83ZALLS8K3</t>
  </si>
  <si>
    <t>108511000</t>
  </si>
  <si>
    <t>91237</t>
  </si>
  <si>
    <t>Seneca Preparatory Academy Foundation</t>
  </si>
  <si>
    <t>10950 E FOURWING PLACE</t>
  </si>
  <si>
    <t>857483552</t>
  </si>
  <si>
    <t>969087340</t>
  </si>
  <si>
    <t>4250</t>
  </si>
  <si>
    <t>11337</t>
  </si>
  <si>
    <t>Sentinel Elementary Dist 71</t>
  </si>
  <si>
    <t>53802 W US HWY 80</t>
  </si>
  <si>
    <t>Dateland</t>
  </si>
  <si>
    <t>85333</t>
  </si>
  <si>
    <t>100598499</t>
  </si>
  <si>
    <t>DTSZCFLXDG56</t>
  </si>
  <si>
    <t>078913000</t>
  </si>
  <si>
    <t>Shadow Ridge</t>
  </si>
  <si>
    <t>098747000</t>
  </si>
  <si>
    <t>Shonto Governing Board of Education    Inc.</t>
  </si>
  <si>
    <t>6353</t>
  </si>
  <si>
    <t>10300</t>
  </si>
  <si>
    <t>Shonto Preparatory School District</t>
  </si>
  <si>
    <t>E HWY 160 RT 98</t>
  </si>
  <si>
    <t>Shonto</t>
  </si>
  <si>
    <t>860547900</t>
  </si>
  <si>
    <t>Q7ZLPTLML1L6</t>
  </si>
  <si>
    <t>4393</t>
  </si>
  <si>
    <t>11401</t>
  </si>
  <si>
    <t>ShowLow Unified School Dist10</t>
  </si>
  <si>
    <t>500 W Old Linden Rd</t>
  </si>
  <si>
    <t>85901-4608</t>
  </si>
  <si>
    <t>100642644</t>
  </si>
  <si>
    <t>L9JFKZSDG1G7</t>
  </si>
  <si>
    <t>108710000</t>
  </si>
  <si>
    <t>79887</t>
  </si>
  <si>
    <t>Sierra Oaks School, Inc</t>
  </si>
  <si>
    <t>10417</t>
  </si>
  <si>
    <t>112017152</t>
  </si>
  <si>
    <t>028752000</t>
  </si>
  <si>
    <t>Sierra Summit Academy</t>
  </si>
  <si>
    <t>078973000</t>
  </si>
  <si>
    <t>79985</t>
  </si>
  <si>
    <t>Sierra Vista Charter School, Inc.</t>
  </si>
  <si>
    <t>10427</t>
  </si>
  <si>
    <t>1000 E WILCOX DR</t>
  </si>
  <si>
    <t>SIERRA VISTA</t>
  </si>
  <si>
    <t>856352622</t>
  </si>
  <si>
    <t>006510383</t>
  </si>
  <si>
    <t>4175</t>
  </si>
  <si>
    <t>11161</t>
  </si>
  <si>
    <t>Sierra Vista Public Schools Unified District #68</t>
  </si>
  <si>
    <t>3555 E. Fry Blvd</t>
  </si>
  <si>
    <t>856352972</t>
  </si>
  <si>
    <t>100092287</t>
  </si>
  <si>
    <t>NRMHNL3RLLU5</t>
  </si>
  <si>
    <t>4478</t>
  </si>
  <si>
    <t>11547</t>
  </si>
  <si>
    <t>Skull Valley School District 15</t>
  </si>
  <si>
    <t>3150 S Old Skull Valley Rd.</t>
  </si>
  <si>
    <t>Skull Valley</t>
  </si>
  <si>
    <t>86338</t>
  </si>
  <si>
    <t>002903276</t>
  </si>
  <si>
    <t>LE26SBE9PPG6</t>
  </si>
  <si>
    <t>90329</t>
  </si>
  <si>
    <t>10167</t>
  </si>
  <si>
    <t>255 E Riggs RD</t>
  </si>
  <si>
    <t>85249-7443</t>
  </si>
  <si>
    <t>832428986</t>
  </si>
  <si>
    <t>FQK1L8B8PJG3</t>
  </si>
  <si>
    <t>79084</t>
  </si>
  <si>
    <t>10360</t>
  </si>
  <si>
    <t>Skyline Technical High School Inc</t>
  </si>
  <si>
    <t>7500 S 40th St</t>
  </si>
  <si>
    <t>850426353</t>
  </si>
  <si>
    <t>008047503</t>
  </si>
  <si>
    <t>GX9DFLJNNPJ3</t>
  </si>
  <si>
    <t>4496</t>
  </si>
  <si>
    <t>10268</t>
  </si>
  <si>
    <t>Skyview School Inc.</t>
  </si>
  <si>
    <t>125 S Rush st</t>
  </si>
  <si>
    <t>863034432</t>
  </si>
  <si>
    <t>967824814</t>
  </si>
  <si>
    <t>UXALMD7LBFV7</t>
  </si>
  <si>
    <t>1001859</t>
  </si>
  <si>
    <t>10832</t>
  </si>
  <si>
    <t>SLAM ARIZONA INC</t>
  </si>
  <si>
    <t>8825 N 23RD AVE STE 100</t>
  </si>
  <si>
    <t>850214148</t>
  </si>
  <si>
    <t>117164452</t>
  </si>
  <si>
    <t>4391</t>
  </si>
  <si>
    <t>11403</t>
  </si>
  <si>
    <t>Snowflake Unified School District #5</t>
  </si>
  <si>
    <t>682 W School Bus LN</t>
  </si>
  <si>
    <t>85937-5262</t>
  </si>
  <si>
    <t>020699534</t>
  </si>
  <si>
    <t>V6QTJJR29XL4</t>
  </si>
  <si>
    <t>4222</t>
  </si>
  <si>
    <t>11219</t>
  </si>
  <si>
    <t>Solomon Elementary School District 5</t>
  </si>
  <si>
    <t>2250 S Stevens Ave</t>
  </si>
  <si>
    <t>Solomon</t>
  </si>
  <si>
    <t>855510167</t>
  </si>
  <si>
    <t>002901262</t>
  </si>
  <si>
    <t>CHEDLE2JG1C8</t>
  </si>
  <si>
    <t>1000160</t>
  </si>
  <si>
    <t>10758</t>
  </si>
  <si>
    <t>SOMERSET ACADEMY ARIZONA INC</t>
  </si>
  <si>
    <t>14900 W Van Buren ST</t>
  </si>
  <si>
    <t>85338-3002</t>
  </si>
  <si>
    <t>117000258</t>
  </si>
  <si>
    <t>WYTSHJNAKVN8</t>
  </si>
  <si>
    <t>4500</t>
  </si>
  <si>
    <t>11573</t>
  </si>
  <si>
    <t>Somerton School District No 11</t>
  </si>
  <si>
    <t>343 N. Carlisle Ave</t>
  </si>
  <si>
    <t>Somerton</t>
  </si>
  <si>
    <t>85350-3200</t>
  </si>
  <si>
    <t>100002062</t>
  </si>
  <si>
    <t>P815WSPQ4CK4</t>
  </si>
  <si>
    <t>4461</t>
  </si>
  <si>
    <t>11505</t>
  </si>
  <si>
    <t>Sonoita Elementary School District #25</t>
  </si>
  <si>
    <t>23 ELGIN RD</t>
  </si>
  <si>
    <t>ELGIN</t>
  </si>
  <si>
    <t>856117312</t>
  </si>
  <si>
    <t>074444274</t>
  </si>
  <si>
    <t>QKTJTR7SR617</t>
  </si>
  <si>
    <t>078786000</t>
  </si>
  <si>
    <t>78868</t>
  </si>
  <si>
    <t>Sonoran Desert School</t>
  </si>
  <si>
    <t>10354</t>
  </si>
  <si>
    <t>6724 S. Kings Ranch Road Suite 102</t>
  </si>
  <si>
    <t>Gold Canyon</t>
  </si>
  <si>
    <t>851182963</t>
  </si>
  <si>
    <t>042044565</t>
  </si>
  <si>
    <t>078943000</t>
  </si>
  <si>
    <t>South Mountain College Preparatory High</t>
  </si>
  <si>
    <t>91108</t>
  </si>
  <si>
    <t>10392</t>
  </si>
  <si>
    <t>South Phoenix Academy, Inc.</t>
  </si>
  <si>
    <t>7450 S 40th St</t>
  </si>
  <si>
    <t>850436351</t>
  </si>
  <si>
    <t>968299342</t>
  </si>
  <si>
    <t>FQX1SG8CDQ33</t>
  </si>
  <si>
    <t>90540</t>
  </si>
  <si>
    <t>10545</t>
  </si>
  <si>
    <t>7470 S 40th St</t>
  </si>
  <si>
    <t>850426351</t>
  </si>
  <si>
    <t>038628692</t>
  </si>
  <si>
    <t>DM3MXKYW6CH4</t>
  </si>
  <si>
    <t>001217000</t>
  </si>
  <si>
    <t>SOUTHEAST REGIONAL COOP</t>
  </si>
  <si>
    <t>108772000</t>
  </si>
  <si>
    <t>79000</t>
  </si>
  <si>
    <t>Southern Arizona Community Academy, Inc.</t>
  </si>
  <si>
    <t>10346</t>
  </si>
  <si>
    <t>Southern Arizona Community Academy, Inc</t>
  </si>
  <si>
    <t>2470 N Tucson Blvd</t>
  </si>
  <si>
    <t>857162469</t>
  </si>
  <si>
    <t>002029986</t>
  </si>
  <si>
    <t>79085</t>
  </si>
  <si>
    <t>10362</t>
  </si>
  <si>
    <t>SOUTHGATE ACADEMY, INC.</t>
  </si>
  <si>
    <t>850 West Valencia Road</t>
  </si>
  <si>
    <t>857067619</t>
  </si>
  <si>
    <t>037601973</t>
  </si>
  <si>
    <t>HQXMQH29EDG5</t>
  </si>
  <si>
    <t>072168000</t>
  </si>
  <si>
    <t>Southwest Human Development</t>
  </si>
  <si>
    <t>072630000</t>
  </si>
  <si>
    <t>8870</t>
  </si>
  <si>
    <t>15305</t>
  </si>
  <si>
    <t>2850 N. 24th Street</t>
  </si>
  <si>
    <t>85008-1004</t>
  </si>
  <si>
    <t>017795089</t>
  </si>
  <si>
    <t>GBLLWPLTRHA7</t>
  </si>
  <si>
    <t>92043</t>
  </si>
  <si>
    <t>10236</t>
  </si>
  <si>
    <t>4301 W FILLMORE ST</t>
  </si>
  <si>
    <t>85043-2908</t>
  </si>
  <si>
    <t>055434796</t>
  </si>
  <si>
    <t>KNF5JX5KBJC9</t>
  </si>
  <si>
    <t>140801000</t>
  </si>
  <si>
    <t>92705</t>
  </si>
  <si>
    <t>Southwest Technical Education District of Yuma (STEDY)</t>
  </si>
  <si>
    <t>10847</t>
  </si>
  <si>
    <t>Southwest Technical Education District of Yuma</t>
  </si>
  <si>
    <t>899 E. Plaza Circle, Suite 1</t>
  </si>
  <si>
    <t>853652044</t>
  </si>
  <si>
    <t>080736537</t>
  </si>
  <si>
    <t>KMU2JEPX4K59</t>
  </si>
  <si>
    <t>072016000</t>
  </si>
  <si>
    <t>80168</t>
  </si>
  <si>
    <t>SS. Simon and Jude</t>
  </si>
  <si>
    <t>15782</t>
  </si>
  <si>
    <t>SS SIMON &amp; JUDE ROMAN CATHOLIC CATHEDRAL PHOENIX</t>
  </si>
  <si>
    <t>6351 N 27th Avenue</t>
  </si>
  <si>
    <t>850171804</t>
  </si>
  <si>
    <t>968535463</t>
  </si>
  <si>
    <t>4173</t>
  </si>
  <si>
    <t>11163</t>
  </si>
  <si>
    <t>ST DAVID UNIFIED SCHOOL</t>
  </si>
  <si>
    <t>70 E Patton ST</t>
  </si>
  <si>
    <t>Saint David</t>
  </si>
  <si>
    <t>85630-6207</t>
  </si>
  <si>
    <t>002900769</t>
  </si>
  <si>
    <t>GK87S3H35HJ1</t>
  </si>
  <si>
    <t>4153</t>
  </si>
  <si>
    <t>11121</t>
  </si>
  <si>
    <t>Saint Johns Unified School District #1</t>
  </si>
  <si>
    <t>450 S 13th W</t>
  </si>
  <si>
    <t>85936-4980</t>
  </si>
  <si>
    <t>007264302</t>
  </si>
  <si>
    <t>EW1YMSQRXNM8</t>
  </si>
  <si>
    <t>072034000</t>
  </si>
  <si>
    <t>88412</t>
  </si>
  <si>
    <t>St. Agnes School</t>
  </si>
  <si>
    <t>10686</t>
  </si>
  <si>
    <t>St. Agnes Catholic School</t>
  </si>
  <si>
    <t>1954 N 24th St</t>
  </si>
  <si>
    <t>850083556</t>
  </si>
  <si>
    <t>078432414</t>
  </si>
  <si>
    <t>112002000</t>
  </si>
  <si>
    <t>80170</t>
  </si>
  <si>
    <t>St. Anthony of Padua Catholic School</t>
  </si>
  <si>
    <t>072013000</t>
  </si>
  <si>
    <t>80172</t>
  </si>
  <si>
    <t>St. Catherine of Siena Catholic School</t>
  </si>
  <si>
    <t>800162286</t>
  </si>
  <si>
    <t>072014000</t>
  </si>
  <si>
    <t>80176</t>
  </si>
  <si>
    <t>St. Jerome School</t>
  </si>
  <si>
    <t>102004000</t>
  </si>
  <si>
    <t>80178</t>
  </si>
  <si>
    <t>St. John the Evangelist</t>
  </si>
  <si>
    <t>15319</t>
  </si>
  <si>
    <t>Saint John The Evangelist Roman Catholic Parish - Tucson</t>
  </si>
  <si>
    <t>602 W Ajo Way</t>
  </si>
  <si>
    <t>857136046</t>
  </si>
  <si>
    <t>100914241</t>
  </si>
  <si>
    <t>K84GB6NCG2W5</t>
  </si>
  <si>
    <t>072084000</t>
  </si>
  <si>
    <t>80180</t>
  </si>
  <si>
    <t>St. John Vianney Catholic School</t>
  </si>
  <si>
    <t>15321</t>
  </si>
  <si>
    <t>Roman Catholic Church The Diocese of Phoenix</t>
  </si>
  <si>
    <t>539 E La Pasada Blvd</t>
  </si>
  <si>
    <t>853381332</t>
  </si>
  <si>
    <t>879546901</t>
  </si>
  <si>
    <t>072093000</t>
  </si>
  <si>
    <t>91795</t>
  </si>
  <si>
    <t>St. Mary's Roman Catholic High School Phoenix</t>
  </si>
  <si>
    <t>15327</t>
  </si>
  <si>
    <t>Roman Catholic Church of the Diocese of Phoenix, The</t>
  </si>
  <si>
    <t>2525 North Third Street</t>
  </si>
  <si>
    <t>850041310</t>
  </si>
  <si>
    <t>100913458</t>
  </si>
  <si>
    <t>012003000</t>
  </si>
  <si>
    <t>80190</t>
  </si>
  <si>
    <t>St. Michael Indian School</t>
  </si>
  <si>
    <t>15331</t>
  </si>
  <si>
    <t>St. Michael Indian School, Incorporated</t>
  </si>
  <si>
    <t>1 Lupton RD</t>
  </si>
  <si>
    <t>865110650</t>
  </si>
  <si>
    <t>159422153</t>
  </si>
  <si>
    <t>112001000</t>
  </si>
  <si>
    <t>80192</t>
  </si>
  <si>
    <t>St. Peter Indian Mission School</t>
  </si>
  <si>
    <t>4451</t>
  </si>
  <si>
    <t>11489</t>
  </si>
  <si>
    <t>Stanfield Elementary School District 24</t>
  </si>
  <si>
    <t>515 S Stanfield RD</t>
  </si>
  <si>
    <t>Stanfield</t>
  </si>
  <si>
    <t>851729687</t>
  </si>
  <si>
    <t>002902971</t>
  </si>
  <si>
    <t>G32SGFGVLRL3</t>
  </si>
  <si>
    <t>103701000</t>
  </si>
  <si>
    <t>1001261</t>
  </si>
  <si>
    <t>Stars and Champs Learning Center, LLC</t>
  </si>
  <si>
    <t>4114 E BROWN WAY</t>
  </si>
  <si>
    <t>857114708</t>
  </si>
  <si>
    <t>078526000</t>
  </si>
  <si>
    <t>Stars Prep Academy - Scottsdale  Inc.</t>
  </si>
  <si>
    <t>078992000</t>
  </si>
  <si>
    <t>85807</t>
  </si>
  <si>
    <t>StarShine Academy</t>
  </si>
  <si>
    <t>10157</t>
  </si>
  <si>
    <t>3535 E MCDOWELL RD</t>
  </si>
  <si>
    <t>130224269</t>
  </si>
  <si>
    <t>073584000</t>
  </si>
  <si>
    <t>90227</t>
  </si>
  <si>
    <t>Start Right Preschool, LLC</t>
  </si>
  <si>
    <t>15039</t>
  </si>
  <si>
    <t>1924 E BRIARWOOD TER</t>
  </si>
  <si>
    <t>850489404</t>
  </si>
  <si>
    <t>075199000</t>
  </si>
  <si>
    <t>9578</t>
  </si>
  <si>
    <t>State Board Of Directors For Community Colleges</t>
  </si>
  <si>
    <t>4313</t>
  </si>
  <si>
    <t>10123</t>
  </si>
  <si>
    <t>Step Up Schools, Inc.</t>
  </si>
  <si>
    <t>44 E. 5th Street</t>
  </si>
  <si>
    <t>85201-5901</t>
  </si>
  <si>
    <t>968804427</t>
  </si>
  <si>
    <t>YENJJFDH6UF4</t>
  </si>
  <si>
    <t>10966</t>
  </si>
  <si>
    <t>10292</t>
  </si>
  <si>
    <t>Stepping Stones Academy, Inc.</t>
  </si>
  <si>
    <t>35812 N 7th St</t>
  </si>
  <si>
    <t>850867410</t>
  </si>
  <si>
    <t>069252257</t>
  </si>
  <si>
    <t>DC77AJCJMA65</t>
  </si>
  <si>
    <t>083026000</t>
  </si>
  <si>
    <t>91897</t>
  </si>
  <si>
    <t>Stepping Stones Childcare, LLC</t>
  </si>
  <si>
    <t>15349</t>
  </si>
  <si>
    <t>863 AIRPARK DR</t>
  </si>
  <si>
    <t>BULLHEAD CITY</t>
  </si>
  <si>
    <t>864295886</t>
  </si>
  <si>
    <t>080208760</t>
  </si>
  <si>
    <t>Sterling Academy of Mathematics and Science</t>
  </si>
  <si>
    <t>073303000</t>
  </si>
  <si>
    <t>91892</t>
  </si>
  <si>
    <t>Stillpointe Early Education Services, LLC</t>
  </si>
  <si>
    <t>15093</t>
  </si>
  <si>
    <t>Stillpointe Early Education Services LLC</t>
  </si>
  <si>
    <t>406 N 1st Street</t>
  </si>
  <si>
    <t>853262300</t>
  </si>
  <si>
    <t>DVYKUHA13C86</t>
  </si>
  <si>
    <t>91992</t>
  </si>
  <si>
    <t>10514</t>
  </si>
  <si>
    <t>StrengthBuilding Partners dba Las Puertas</t>
  </si>
  <si>
    <t>100 W. 37th Street</t>
  </si>
  <si>
    <t>857134746</t>
  </si>
  <si>
    <t>038680430</t>
  </si>
  <si>
    <t>KFLUU3KRPP59</t>
  </si>
  <si>
    <t>071404000</t>
  </si>
  <si>
    <t>90561</t>
  </si>
  <si>
    <t>STRIVE2B1,LLC (Students and Teachers with Rare Intelligent Vision and Energy)</t>
  </si>
  <si>
    <t>79453</t>
  </si>
  <si>
    <t>10537</t>
  </si>
  <si>
    <t>SUCCESS SCHOOL</t>
  </si>
  <si>
    <t>16025 N Dysart RD</t>
  </si>
  <si>
    <t>85374-4062</t>
  </si>
  <si>
    <t>112049767</t>
  </si>
  <si>
    <t>SM2BG7U9XLT9</t>
  </si>
  <si>
    <t>098751000</t>
  </si>
  <si>
    <t>90197</t>
  </si>
  <si>
    <t>Successful Beginnings Charter School</t>
  </si>
  <si>
    <t>10169</t>
  </si>
  <si>
    <t>609687996</t>
  </si>
  <si>
    <t>138767000</t>
  </si>
  <si>
    <t>79912</t>
  </si>
  <si>
    <t>Sunnyside Charter and Montessori School</t>
  </si>
  <si>
    <t>10428</t>
  </si>
  <si>
    <t>784980281</t>
  </si>
  <si>
    <t>4407</t>
  </si>
  <si>
    <t>11441</t>
  </si>
  <si>
    <t>Sunnyside Unified School District 12</t>
  </si>
  <si>
    <t>2238 E Ginter Rd</t>
  </si>
  <si>
    <t>85706-5806</t>
  </si>
  <si>
    <t>074446816</t>
  </si>
  <si>
    <t>TKBSF37VK8J8</t>
  </si>
  <si>
    <t>078923000</t>
  </si>
  <si>
    <t>Superior School</t>
  </si>
  <si>
    <t>10596</t>
  </si>
  <si>
    <t>4440</t>
  </si>
  <si>
    <t>11491</t>
  </si>
  <si>
    <t>Superior Unified School District #15</t>
  </si>
  <si>
    <t>1500 W Panther Dr. STE 101</t>
  </si>
  <si>
    <t>85173-4538</t>
  </si>
  <si>
    <t>100608454</t>
  </si>
  <si>
    <t>CWCLQ9LAW4J7</t>
  </si>
  <si>
    <t>078686000</t>
  </si>
  <si>
    <t>Sweetwater Health Services, Inc.</t>
  </si>
  <si>
    <t>92981</t>
  </si>
  <si>
    <t>10629</t>
  </si>
  <si>
    <t>Synergy Public Schools</t>
  </si>
  <si>
    <t>2701 W. Bethany Home Rd</t>
  </si>
  <si>
    <t>85017-1705</t>
  </si>
  <si>
    <t>080082195</t>
  </si>
  <si>
    <t>U5VPWHUUHQ75</t>
  </si>
  <si>
    <t>078217000</t>
  </si>
  <si>
    <t>91933</t>
  </si>
  <si>
    <t>SySTEM Schools</t>
  </si>
  <si>
    <t>10109</t>
  </si>
  <si>
    <t>Advanced Science Program and Innovative Research Education</t>
  </si>
  <si>
    <t>1301 E. Almeria Rd.</t>
  </si>
  <si>
    <t>078736594</t>
  </si>
  <si>
    <t>108780000</t>
  </si>
  <si>
    <t>5179</t>
  </si>
  <si>
    <t>TAG Elementary, Inc.</t>
  </si>
  <si>
    <t>10182</t>
  </si>
  <si>
    <t>128508806</t>
  </si>
  <si>
    <t>4408</t>
  </si>
  <si>
    <t>11443</t>
  </si>
  <si>
    <t>Tanque Verde Unified School District 13</t>
  </si>
  <si>
    <t>11150 E Tanque Verde RD</t>
  </si>
  <si>
    <t>857498524</t>
  </si>
  <si>
    <t>098043029</t>
  </si>
  <si>
    <t>U3SYPKDBQTR8</t>
  </si>
  <si>
    <t>082206000</t>
  </si>
  <si>
    <t>9613</t>
  </si>
  <si>
    <t>Task Society</t>
  </si>
  <si>
    <t>073295000</t>
  </si>
  <si>
    <t>9537</t>
  </si>
  <si>
    <t>Teach &amp; Care</t>
  </si>
  <si>
    <t>315 S STAPLEY DR</t>
  </si>
  <si>
    <t>852042102</t>
  </si>
  <si>
    <t>071616001</t>
  </si>
  <si>
    <t>91847</t>
  </si>
  <si>
    <t>Teach For America</t>
  </si>
  <si>
    <t>3030 N CENTRAL AVE STE 900</t>
  </si>
  <si>
    <t>850122717</t>
  </si>
  <si>
    <t>009837621</t>
  </si>
  <si>
    <t>073526000</t>
  </si>
  <si>
    <t>87305</t>
  </si>
  <si>
    <t>Teach N Tots, Inc.</t>
  </si>
  <si>
    <t>10868</t>
  </si>
  <si>
    <t>4501 N 19TH AVE</t>
  </si>
  <si>
    <t>AA</t>
  </si>
  <si>
    <t>850154118</t>
  </si>
  <si>
    <t>078551000</t>
  </si>
  <si>
    <t>90142</t>
  </si>
  <si>
    <t>Teleos Preparatory Academy</t>
  </si>
  <si>
    <t>10150</t>
  </si>
  <si>
    <t>1401 E Jefferson St</t>
  </si>
  <si>
    <t>850342315</t>
  </si>
  <si>
    <t>022812603</t>
  </si>
  <si>
    <t>79218</t>
  </si>
  <si>
    <t>10419</t>
  </si>
  <si>
    <t>Telesis Center For Learning, Inc.</t>
  </si>
  <si>
    <t>2598 Starlite LN</t>
  </si>
  <si>
    <t>86403-4946</t>
  </si>
  <si>
    <t>961506524</t>
  </si>
  <si>
    <t>SCANB836JPU4</t>
  </si>
  <si>
    <t>4361</t>
  </si>
  <si>
    <t>10793</t>
  </si>
  <si>
    <t>1251 E. Southern Ave.</t>
  </si>
  <si>
    <t>85282-5605</t>
  </si>
  <si>
    <t>967825118</t>
  </si>
  <si>
    <t>QMKDBMBDM3G1</t>
  </si>
  <si>
    <t>078545000</t>
  </si>
  <si>
    <t>89947</t>
  </si>
  <si>
    <t>Tempe Preparatory Junior Academy</t>
  </si>
  <si>
    <t>10328</t>
  </si>
  <si>
    <t>1251 E SOUTHERN AVE</t>
  </si>
  <si>
    <t>852825605</t>
  </si>
  <si>
    <t>Not Funded</t>
  </si>
  <si>
    <t>4258</t>
  </si>
  <si>
    <t>11339</t>
  </si>
  <si>
    <t>Tempe Elementary School District</t>
  </si>
  <si>
    <t>3205 S. Rural Road</t>
  </si>
  <si>
    <t>85282-3853</t>
  </si>
  <si>
    <t>100002104</t>
  </si>
  <si>
    <t>P5RJCMCSX565</t>
  </si>
  <si>
    <t>4287</t>
  </si>
  <si>
    <t>11341</t>
  </si>
  <si>
    <t>Tempe Union High School District #213</t>
  </si>
  <si>
    <t>500 West Guadalupe Road</t>
  </si>
  <si>
    <t>852833599</t>
  </si>
  <si>
    <t>021659009</t>
  </si>
  <si>
    <t>GDS4JBKPXFA8</t>
  </si>
  <si>
    <t>078678000</t>
  </si>
  <si>
    <t>Terra Nova Academy</t>
  </si>
  <si>
    <t>138650000</t>
  </si>
  <si>
    <t>Terra Rosa Charter School</t>
  </si>
  <si>
    <t>078747000</t>
  </si>
  <si>
    <t>4353</t>
  </si>
  <si>
    <t>Tertulia</t>
  </si>
  <si>
    <t>10172</t>
  </si>
  <si>
    <t>090205715</t>
  </si>
  <si>
    <t>TesseracT Group Inc. The</t>
  </si>
  <si>
    <t>4219</t>
  </si>
  <si>
    <t>11221</t>
  </si>
  <si>
    <t>Thatcher Unified School District 4</t>
  </si>
  <si>
    <t>3940 W Main St</t>
  </si>
  <si>
    <t>855525713</t>
  </si>
  <si>
    <t>835440827</t>
  </si>
  <si>
    <t>YPNPAYGUUZC6</t>
  </si>
  <si>
    <t>999999000</t>
  </si>
  <si>
    <t>The American Indian Christian Mission</t>
  </si>
  <si>
    <t>4305</t>
  </si>
  <si>
    <t>10117</t>
  </si>
  <si>
    <t>Boys &amp; Girls Clubs of the Valley, Inc</t>
  </si>
  <si>
    <t>4309 E. Belleview St, building 14</t>
  </si>
  <si>
    <t>850085409</t>
  </si>
  <si>
    <t>LTVKRCUGBUK6</t>
  </si>
  <si>
    <t>10243</t>
  </si>
  <si>
    <t>The Charter Foundation Inc</t>
  </si>
  <si>
    <t>1150 N Country Club Road</t>
  </si>
  <si>
    <t>85716</t>
  </si>
  <si>
    <t>FWBXFYWDWYE1</t>
  </si>
  <si>
    <t>91340</t>
  </si>
  <si>
    <t>10588</t>
  </si>
  <si>
    <t>THE FARM AT MISSION MONTESSORI ACADEMY</t>
  </si>
  <si>
    <t>11050 N 96TH ST</t>
  </si>
  <si>
    <t>85260-6232</t>
  </si>
  <si>
    <t>078371920</t>
  </si>
  <si>
    <t>JN11X9CHA775</t>
  </si>
  <si>
    <t>92978</t>
  </si>
  <si>
    <t>10651</t>
  </si>
  <si>
    <t>950 N Peart Rd</t>
  </si>
  <si>
    <t>85122-5403</t>
  </si>
  <si>
    <t>080090952</t>
  </si>
  <si>
    <t>DGG3LKYG1PK3</t>
  </si>
  <si>
    <t>091901000</t>
  </si>
  <si>
    <t>91718</t>
  </si>
  <si>
    <t>The Grant Experts dba Capacity Builders, Inc.</t>
  </si>
  <si>
    <t>830840604</t>
  </si>
  <si>
    <t>144601000</t>
  </si>
  <si>
    <t>80935</t>
  </si>
  <si>
    <t>The Learning Ladder, Inc.</t>
  </si>
  <si>
    <t>072135000</t>
  </si>
  <si>
    <t>7332</t>
  </si>
  <si>
    <t>THE NEW FOUNDATION</t>
  </si>
  <si>
    <t>The New Foundation</t>
  </si>
  <si>
    <t>1200 N. 77th St.</t>
  </si>
  <si>
    <t>852573708</t>
  </si>
  <si>
    <t>080662018</t>
  </si>
  <si>
    <t>90287</t>
  </si>
  <si>
    <t>10199</t>
  </si>
  <si>
    <t>Odyssey preparatory academy, inc. The</t>
  </si>
  <si>
    <t>6500 S Apache RD</t>
  </si>
  <si>
    <t>buckeye</t>
  </si>
  <si>
    <t>arizona</t>
  </si>
  <si>
    <t>853262709</t>
  </si>
  <si>
    <t>015459833</t>
  </si>
  <si>
    <t>ZML9AGSNVMJ5</t>
  </si>
  <si>
    <t>078102000</t>
  </si>
  <si>
    <t>91218</t>
  </si>
  <si>
    <t>91250</t>
  </si>
  <si>
    <t>10572</t>
  </si>
  <si>
    <t>THE PAIDEIA ACADEMIES INC</t>
  </si>
  <si>
    <t>1535 E Baseline RD</t>
  </si>
  <si>
    <t>85042-6732</t>
  </si>
  <si>
    <t>969283055</t>
  </si>
  <si>
    <t>CVZPAAV89ZT5</t>
  </si>
  <si>
    <t>078203000</t>
  </si>
  <si>
    <t>91276</t>
  </si>
  <si>
    <t>The Paideia Academy of Chandler, Inc.</t>
  </si>
  <si>
    <t>10576</t>
  </si>
  <si>
    <t>969283618</t>
  </si>
  <si>
    <t>103136000</t>
  </si>
  <si>
    <t>1002144</t>
  </si>
  <si>
    <t>The Sandbox , Inc</t>
  </si>
  <si>
    <t>10872</t>
  </si>
  <si>
    <t>2701 N SWAN RD</t>
  </si>
  <si>
    <t>857122038</t>
  </si>
  <si>
    <t>048703000</t>
  </si>
  <si>
    <t>79131</t>
  </si>
  <si>
    <t>The Shelby School</t>
  </si>
  <si>
    <t>10381</t>
  </si>
  <si>
    <t>Shelby School Inc, The</t>
  </si>
  <si>
    <t>23 Standage Dr</t>
  </si>
  <si>
    <t>855410000</t>
  </si>
  <si>
    <t>008047362</t>
  </si>
  <si>
    <t>143032000</t>
  </si>
  <si>
    <t>1000101</t>
  </si>
  <si>
    <t>The Treehouse Preschool Inc.</t>
  </si>
  <si>
    <t>10732</t>
  </si>
  <si>
    <t>Tree House Preschool, Inc.</t>
  </si>
  <si>
    <t>3807 W. Mars Dr</t>
  </si>
  <si>
    <t>SOMERTON</t>
  </si>
  <si>
    <t>853507256</t>
  </si>
  <si>
    <t>UJGVUKJ4EKX1</t>
  </si>
  <si>
    <t>093905000</t>
  </si>
  <si>
    <t>78760</t>
  </si>
  <si>
    <t>Theodore Roosevelt School</t>
  </si>
  <si>
    <t>15391</t>
  </si>
  <si>
    <t>PO BOX 567</t>
  </si>
  <si>
    <t>FORT APACHE</t>
  </si>
  <si>
    <t>859260567</t>
  </si>
  <si>
    <t>612076885</t>
  </si>
  <si>
    <t>92976</t>
  </si>
  <si>
    <t>10666</t>
  </si>
  <si>
    <t>3232 W Thomas Rd</t>
  </si>
  <si>
    <t>850175309</t>
  </si>
  <si>
    <t>080081307</t>
  </si>
  <si>
    <t>Y856W8RA5Z57</t>
  </si>
  <si>
    <t>79059</t>
  </si>
  <si>
    <t>10380</t>
  </si>
  <si>
    <t>ThrivePoint High School Inc.</t>
  </si>
  <si>
    <t>4744 W Grovers Ave</t>
  </si>
  <si>
    <t>009424131</t>
  </si>
  <si>
    <t>SFNDX5T9FQC9</t>
  </si>
  <si>
    <t>073493000</t>
  </si>
  <si>
    <t>80912</t>
  </si>
  <si>
    <t>Tiny Treasures</t>
  </si>
  <si>
    <t>4123 N. 15th Ave</t>
  </si>
  <si>
    <t>850154702</t>
  </si>
  <si>
    <t>147935980</t>
  </si>
  <si>
    <t>108786000</t>
  </si>
  <si>
    <t>TLC Charter Schools  Inc</t>
  </si>
  <si>
    <t>073345000</t>
  </si>
  <si>
    <t>1000061</t>
  </si>
  <si>
    <t>TLGG LLC dba Active Learning Center #7</t>
  </si>
  <si>
    <t>10701 N 15th Ave</t>
  </si>
  <si>
    <t>850295111</t>
  </si>
  <si>
    <t>073711000</t>
  </si>
  <si>
    <t>90795</t>
  </si>
  <si>
    <t>Todays Tomorrow Learning Center, LLC</t>
  </si>
  <si>
    <t>10871</t>
  </si>
  <si>
    <t>1616 N 24TH ST Suite 103</t>
  </si>
  <si>
    <t>038754000</t>
  </si>
  <si>
    <t>Tolchii' Kooh Inc.</t>
  </si>
  <si>
    <t>4264</t>
  </si>
  <si>
    <t>11343</t>
  </si>
  <si>
    <t>Tolleson Elementary School District 17</t>
  </si>
  <si>
    <t>9261 W. Van Buren Street</t>
  </si>
  <si>
    <t>853532941</t>
  </si>
  <si>
    <t>100002112</t>
  </si>
  <si>
    <t>SEDFA1752G18</t>
  </si>
  <si>
    <t>4288</t>
  </si>
  <si>
    <t>11345</t>
  </si>
  <si>
    <t>Maricopa County of dba Tolleson Union High School District 214</t>
  </si>
  <si>
    <t>9801 W Van Buren St</t>
  </si>
  <si>
    <t>85353-2833</t>
  </si>
  <si>
    <t>002902062</t>
  </si>
  <si>
    <t>LMCMVMY1E853</t>
  </si>
  <si>
    <t>4450</t>
  </si>
  <si>
    <t>11493</t>
  </si>
  <si>
    <t>4050 W Tonto Road</t>
  </si>
  <si>
    <t>851319680</t>
  </si>
  <si>
    <t>794593587</t>
  </si>
  <si>
    <t>E6F7WZK5PWR9</t>
  </si>
  <si>
    <t>4168</t>
  </si>
  <si>
    <t>11165</t>
  </si>
  <si>
    <t>Tombstone Unified School District 1</t>
  </si>
  <si>
    <t>815 E Fremont St</t>
  </si>
  <si>
    <t>Tombstone</t>
  </si>
  <si>
    <t>856380199</t>
  </si>
  <si>
    <t>100642685</t>
  </si>
  <si>
    <t>MDKJJDR17D95</t>
  </si>
  <si>
    <t>034001000</t>
  </si>
  <si>
    <t>8577</t>
  </si>
  <si>
    <t>Tonalea Day School</t>
  </si>
  <si>
    <t>4215</t>
  </si>
  <si>
    <t>11203</t>
  </si>
  <si>
    <t>Tonto Basin Elementary School District #33</t>
  </si>
  <si>
    <t>445 S. Old Hwy. 188</t>
  </si>
  <si>
    <t>Tonto Basin</t>
  </si>
  <si>
    <t>855530114</t>
  </si>
  <si>
    <t>183866599</t>
  </si>
  <si>
    <t>FJKZCB3JQ866</t>
  </si>
  <si>
    <t>4376</t>
  </si>
  <si>
    <t>11381</t>
  </si>
  <si>
    <t>Topock Elementary School Dist 12</t>
  </si>
  <si>
    <t>5083 Tule DR</t>
  </si>
  <si>
    <t>Topock</t>
  </si>
  <si>
    <t>864360000</t>
  </si>
  <si>
    <t>932401813</t>
  </si>
  <si>
    <t>MFYWKC13M119</t>
  </si>
  <si>
    <t>072078000</t>
  </si>
  <si>
    <t>91917</t>
  </si>
  <si>
    <t>Torah Day School of Phoenix</t>
  </si>
  <si>
    <t>15251</t>
  </si>
  <si>
    <t>Yeshiva of Phoenix</t>
  </si>
  <si>
    <t>042628316</t>
  </si>
  <si>
    <t>138764000</t>
  </si>
  <si>
    <t>Tri-City Vo/Tech High School</t>
  </si>
  <si>
    <t>4225</t>
  </si>
  <si>
    <t>10301</t>
  </si>
  <si>
    <t>Triumphant Learning Center, Inc</t>
  </si>
  <si>
    <t>201 E Main St</t>
  </si>
  <si>
    <t>SAFFORD</t>
  </si>
  <si>
    <t>855462051</t>
  </si>
  <si>
    <t>961354149</t>
  </si>
  <si>
    <t>VGZTHEKMPB95</t>
  </si>
  <si>
    <t>90859</t>
  </si>
  <si>
    <t>10546</t>
  </si>
  <si>
    <t>966140035</t>
  </si>
  <si>
    <t>LQF4QQG8HQ17</t>
  </si>
  <si>
    <t>4197</t>
  </si>
  <si>
    <t>11183</t>
  </si>
  <si>
    <t>67 Fir St</t>
  </si>
  <si>
    <t>86045</t>
  </si>
  <si>
    <t>122807977</t>
  </si>
  <si>
    <t>W5ZHDAXY8S79</t>
  </si>
  <si>
    <t>101602000</t>
  </si>
  <si>
    <t>90728</t>
  </si>
  <si>
    <t>Tucson Audubon Society</t>
  </si>
  <si>
    <t>300 E UNIVERSITY BLVD STE 120</t>
  </si>
  <si>
    <t>857057997</t>
  </si>
  <si>
    <t>959077330</t>
  </si>
  <si>
    <t>108401000</t>
  </si>
  <si>
    <t>91279</t>
  </si>
  <si>
    <t>Tucson Collegiate Prep, Inc.</t>
  </si>
  <si>
    <t>10578</t>
  </si>
  <si>
    <t>40 W Fort Lowell</t>
  </si>
  <si>
    <t>857053810</t>
  </si>
  <si>
    <t>969384929</t>
  </si>
  <si>
    <t>79073</t>
  </si>
  <si>
    <t>10347</t>
  </si>
  <si>
    <t>Tucson Country Day School, Inc</t>
  </si>
  <si>
    <t>9239 E Wrightstown Road</t>
  </si>
  <si>
    <t>85715-5514</t>
  </si>
  <si>
    <t>154274765</t>
  </si>
  <si>
    <t>MQVXT5VE4TD8</t>
  </si>
  <si>
    <t>79979</t>
  </si>
  <si>
    <t>10422</t>
  </si>
  <si>
    <t>Tucson International Academy</t>
  </si>
  <si>
    <t>2700 W. Broadway Blvd</t>
  </si>
  <si>
    <t>85745-1715</t>
  </si>
  <si>
    <t>112220475</t>
  </si>
  <si>
    <t>C1FHKM58AAS8</t>
  </si>
  <si>
    <t>103510000</t>
  </si>
  <si>
    <t>1002096</t>
  </si>
  <si>
    <t>Tucson International School, INC</t>
  </si>
  <si>
    <t>10854</t>
  </si>
  <si>
    <t>1701 E SENECA ST</t>
  </si>
  <si>
    <t>857193746</t>
  </si>
  <si>
    <t>6374</t>
  </si>
  <si>
    <t>10159</t>
  </si>
  <si>
    <t>104 E Prince Rd</t>
  </si>
  <si>
    <t>857053666</t>
  </si>
  <si>
    <t>830086406</t>
  </si>
  <si>
    <t>MW48FPFYB3E5</t>
  </si>
  <si>
    <t>4403</t>
  </si>
  <si>
    <t>11445</t>
  </si>
  <si>
    <t>Tucson Unified School District</t>
  </si>
  <si>
    <t>1010 E. 10th St.</t>
  </si>
  <si>
    <t>857195813</t>
  </si>
  <si>
    <t>072457609</t>
  </si>
  <si>
    <t>J1PVZD6TFYN8</t>
  </si>
  <si>
    <t>108766000</t>
  </si>
  <si>
    <t>Tucson Urban League  Inc.</t>
  </si>
  <si>
    <t>4422</t>
  </si>
  <si>
    <t>10107</t>
  </si>
  <si>
    <t>TUCSON YOUTH DEVELOPMENT INC</t>
  </si>
  <si>
    <t>1901 N STONE AVENUE</t>
  </si>
  <si>
    <t>123720120</t>
  </si>
  <si>
    <t>NLW3JWQYME45</t>
  </si>
  <si>
    <t>103204000</t>
  </si>
  <si>
    <t>89877</t>
  </si>
  <si>
    <t>Tutor Time Learning Centers, LLC</t>
  </si>
  <si>
    <t>15776</t>
  </si>
  <si>
    <t>21333 Haggerty Rd Ste. 300</t>
  </si>
  <si>
    <t>182916499</t>
  </si>
  <si>
    <t>4310</t>
  </si>
  <si>
    <t>10114</t>
  </si>
  <si>
    <t>21st  Century Charter Schools, Inc</t>
  </si>
  <si>
    <t>2940 W Bethany Home Rd</t>
  </si>
  <si>
    <t>Arizona-AZ</t>
  </si>
  <si>
    <t>850171615</t>
  </si>
  <si>
    <t>92-9545895</t>
  </si>
  <si>
    <t>GDKHDN3LGGN6</t>
  </si>
  <si>
    <t>078944000</t>
  </si>
  <si>
    <t>Twenty First Century Charter Schools  Inc.</t>
  </si>
  <si>
    <t>071618000</t>
  </si>
  <si>
    <t>92687</t>
  </si>
  <si>
    <t>Unified Progress International Education</t>
  </si>
  <si>
    <t>14445</t>
  </si>
  <si>
    <t>4277</t>
  </si>
  <si>
    <t>11347</t>
  </si>
  <si>
    <t>Union Elementary School District #62</t>
  </si>
  <si>
    <t>3834 S. 91st Avenue</t>
  </si>
  <si>
    <t>85353-9394</t>
  </si>
  <si>
    <t>122860281</t>
  </si>
  <si>
    <t>NX7CD8GR2S41</t>
  </si>
  <si>
    <t>200702000</t>
  </si>
  <si>
    <t>91216</t>
  </si>
  <si>
    <t>University of Virginia</t>
  </si>
  <si>
    <t>078572000</t>
  </si>
  <si>
    <t>90367</t>
  </si>
  <si>
    <t>US Mental Math Federation Incorp</t>
  </si>
  <si>
    <t>10529</t>
  </si>
  <si>
    <t>100220710</t>
  </si>
  <si>
    <t>91167</t>
  </si>
  <si>
    <t>Vail Charter Schools</t>
  </si>
  <si>
    <t>100220700</t>
  </si>
  <si>
    <t>5852</t>
  </si>
  <si>
    <t>Vail High School</t>
  </si>
  <si>
    <t>10164</t>
  </si>
  <si>
    <t>4413</t>
  </si>
  <si>
    <t>11447</t>
  </si>
  <si>
    <t>VAIL UNIFIED SCHOOL DISTRICT 20</t>
  </si>
  <si>
    <t>Vail</t>
  </si>
  <si>
    <t>0029028150000</t>
  </si>
  <si>
    <t>NWUJEKLHGM17</t>
  </si>
  <si>
    <t>4380</t>
  </si>
  <si>
    <t>10676</t>
  </si>
  <si>
    <t>Valentine Elementary School District 22</t>
  </si>
  <si>
    <t>12491 Byers St</t>
  </si>
  <si>
    <t>864349650</t>
  </si>
  <si>
    <t>184259281</t>
  </si>
  <si>
    <t>130801000</t>
  </si>
  <si>
    <t>79397</t>
  </si>
  <si>
    <t>Valley Academy for Career and Technology Education</t>
  </si>
  <si>
    <t>11557</t>
  </si>
  <si>
    <t>Valley Academy for Career and Tech</t>
  </si>
  <si>
    <t>3405 E STATE ROUTE 89A BLDG B</t>
  </si>
  <si>
    <t>863265511</t>
  </si>
  <si>
    <t>153680306</t>
  </si>
  <si>
    <t>GLA6XZLRCVJ1</t>
  </si>
  <si>
    <t>073197000</t>
  </si>
  <si>
    <t>9280</t>
  </si>
  <si>
    <t>Valley Learning Center</t>
  </si>
  <si>
    <t>10685</t>
  </si>
  <si>
    <t>Valley Learning Centers, Inc.</t>
  </si>
  <si>
    <t>2235 S STATE ROUTE 89 STE 1</t>
  </si>
  <si>
    <t>CHINO VALLEY</t>
  </si>
  <si>
    <t>863239208</t>
  </si>
  <si>
    <t>152213419</t>
  </si>
  <si>
    <t>072913000</t>
  </si>
  <si>
    <t>1001570</t>
  </si>
  <si>
    <t>Valley of the Sun United Way</t>
  </si>
  <si>
    <t>10830</t>
  </si>
  <si>
    <t>3200 E Camelback RD STE 375</t>
  </si>
  <si>
    <t>850182328</t>
  </si>
  <si>
    <t>072441215</t>
  </si>
  <si>
    <t>QEGGB2LQYRL9</t>
  </si>
  <si>
    <t>79957</t>
  </si>
  <si>
    <t>10412</t>
  </si>
  <si>
    <t>Valley of the Sun Waldorf Education Association</t>
  </si>
  <si>
    <t>6210 S. 28th Street</t>
  </si>
  <si>
    <t>85042-4715</t>
  </si>
  <si>
    <t>015776292</t>
  </si>
  <si>
    <t>MCGSMX43BGN3</t>
  </si>
  <si>
    <t>071606000</t>
  </si>
  <si>
    <t>87128</t>
  </si>
  <si>
    <t>Valley of the Sun YMCA</t>
  </si>
  <si>
    <t>15459</t>
  </si>
  <si>
    <t>Valley of the Sun Young Men's Christian Association</t>
  </si>
  <si>
    <t>350 N 1st Avenue</t>
  </si>
  <si>
    <t>850031513</t>
  </si>
  <si>
    <t>020134524</t>
  </si>
  <si>
    <t>LV7PNZK6RWA9</t>
  </si>
  <si>
    <t>4190</t>
  </si>
  <si>
    <t>11167</t>
  </si>
  <si>
    <t>Valley Union High Sch Dist 22</t>
  </si>
  <si>
    <t>4088 Jefferson Road</t>
  </si>
  <si>
    <t>l</t>
  </si>
  <si>
    <t>DGKNWSMN6TM7</t>
  </si>
  <si>
    <t>078674000</t>
  </si>
  <si>
    <t>Valley Vocational Services</t>
  </si>
  <si>
    <t>1000291</t>
  </si>
  <si>
    <t>10811</t>
  </si>
  <si>
    <t>2471 N Arizona AVE Building 1</t>
  </si>
  <si>
    <t>117144632</t>
  </si>
  <si>
    <t>J6CYF8TJ1RC1</t>
  </si>
  <si>
    <t>118707000</t>
  </si>
  <si>
    <t>4455</t>
  </si>
  <si>
    <t>Vechij Himdag Alternative School, Inc.</t>
  </si>
  <si>
    <t>10304</t>
  </si>
  <si>
    <t>168 S SKILL CENTER RD</t>
  </si>
  <si>
    <t>SACATON</t>
  </si>
  <si>
    <t>851470004</t>
  </si>
  <si>
    <t>967824996</t>
  </si>
  <si>
    <t>90317</t>
  </si>
  <si>
    <t>10170</t>
  </si>
  <si>
    <t>2020 N Arizona AVE STE 5</t>
  </si>
  <si>
    <t>803401459</t>
  </si>
  <si>
    <t>TZ4EKL2BLRV4</t>
  </si>
  <si>
    <t>078579000</t>
  </si>
  <si>
    <t>Verde Secondary Academy Public Charter HS</t>
  </si>
  <si>
    <t>10564</t>
  </si>
  <si>
    <t>80992</t>
  </si>
  <si>
    <t>10517</t>
  </si>
  <si>
    <t>3102 North 56th Street, Suite 100</t>
  </si>
  <si>
    <t>127531916</t>
  </si>
  <si>
    <t>WSD5KV1N1SK1</t>
  </si>
  <si>
    <t>4162</t>
  </si>
  <si>
    <t>11123</t>
  </si>
  <si>
    <t>Vernon Elementary School District #9</t>
  </si>
  <si>
    <t>90 County Road 3139</t>
  </si>
  <si>
    <t>Vernon</t>
  </si>
  <si>
    <t>859400089</t>
  </si>
  <si>
    <t>556857258</t>
  </si>
  <si>
    <t>SL8LN17C9YR7</t>
  </si>
  <si>
    <t>078775000</t>
  </si>
  <si>
    <t>6370</t>
  </si>
  <si>
    <t>Vicki A. Romero High School</t>
  </si>
  <si>
    <t>10334</t>
  </si>
  <si>
    <t>964897420</t>
  </si>
  <si>
    <t>92985</t>
  </si>
  <si>
    <t>10669</t>
  </si>
  <si>
    <t>Victory Collegiate Academy</t>
  </si>
  <si>
    <t>3535 N 63rd Ave</t>
  </si>
  <si>
    <t>85033-4503</t>
  </si>
  <si>
    <t>080081365</t>
  </si>
  <si>
    <t>CXLHM4Y896W9</t>
  </si>
  <si>
    <t>078757000</t>
  </si>
  <si>
    <t>4358</t>
  </si>
  <si>
    <t>Victory High School, Inc.</t>
  </si>
  <si>
    <t>10309</t>
  </si>
  <si>
    <t>Victory High school Inc.</t>
  </si>
  <si>
    <t>1650 West Southern Avenue</t>
  </si>
  <si>
    <t>850414627</t>
  </si>
  <si>
    <t>967824806</t>
  </si>
  <si>
    <t>4339</t>
  </si>
  <si>
    <t>10163</t>
  </si>
  <si>
    <t>Villa Montessori School</t>
  </si>
  <si>
    <t>2802 E. Meadowbrook Ave</t>
  </si>
  <si>
    <t>850164939</t>
  </si>
  <si>
    <t>079007829</t>
  </si>
  <si>
    <t>JFZFTJHBJ4J3</t>
  </si>
  <si>
    <t>108705000</t>
  </si>
  <si>
    <t>4430</t>
  </si>
  <si>
    <t>Vision Charter School, Inc.</t>
  </si>
  <si>
    <t>10296</t>
  </si>
  <si>
    <t>068534614</t>
  </si>
  <si>
    <t>029499000</t>
  </si>
  <si>
    <t>92999</t>
  </si>
  <si>
    <t>Visions Unlimited Academy</t>
  </si>
  <si>
    <t>022003000</t>
  </si>
  <si>
    <t>1000035</t>
  </si>
  <si>
    <t>Visions Unlimited Academy II, Inc.</t>
  </si>
  <si>
    <t>10726</t>
  </si>
  <si>
    <t>1275 E Barney Lane</t>
  </si>
  <si>
    <t>856027955</t>
  </si>
  <si>
    <t>080104794</t>
  </si>
  <si>
    <t>038708000</t>
  </si>
  <si>
    <t>79671</t>
  </si>
  <si>
    <t>Visions Unlimited Academy, Inc.</t>
  </si>
  <si>
    <t>10399</t>
  </si>
  <si>
    <t>1275 E BARNEY LN</t>
  </si>
  <si>
    <t>829092308</t>
  </si>
  <si>
    <t>79907</t>
  </si>
  <si>
    <t>10429</t>
  </si>
  <si>
    <t>113675891</t>
  </si>
  <si>
    <t>UQQKBA1CTUM7</t>
  </si>
  <si>
    <t>91948</t>
  </si>
  <si>
    <t>10506</t>
  </si>
  <si>
    <t>Vista College Preparatory</t>
  </si>
  <si>
    <t>812 S 6th Ave</t>
  </si>
  <si>
    <t>850032528</t>
  </si>
  <si>
    <t>078800467</t>
  </si>
  <si>
    <t>J8KMFLNXNDK8</t>
  </si>
  <si>
    <t>101907000</t>
  </si>
  <si>
    <t>84329</t>
  </si>
  <si>
    <t>Volunteer Center of Southern Arizona</t>
  </si>
  <si>
    <t>131501000</t>
  </si>
  <si>
    <t>80957</t>
  </si>
  <si>
    <t>Volunteer Council Training Others to Read in Yavapai</t>
  </si>
  <si>
    <t>130307000</t>
  </si>
  <si>
    <t>4476</t>
  </si>
  <si>
    <t>Walnut Grove Elementary District</t>
  </si>
  <si>
    <t>18500 S WALNUT GROVE RD</t>
  </si>
  <si>
    <t>KIRKLAND</t>
  </si>
  <si>
    <t>86332</t>
  </si>
  <si>
    <t>4260</t>
  </si>
  <si>
    <t>11349</t>
  </si>
  <si>
    <t>Washington Elementary School District #6</t>
  </si>
  <si>
    <t>4650 W. Sweetwater Avenue</t>
  </si>
  <si>
    <t>85304-1505</t>
  </si>
  <si>
    <t>002902088</t>
  </si>
  <si>
    <t>CJ2VKCAXHF44</t>
  </si>
  <si>
    <t>4504</t>
  </si>
  <si>
    <t>11575</t>
  </si>
  <si>
    <t>Wellton Elementary School District</t>
  </si>
  <si>
    <t>29126 E San Jose Ave</t>
  </si>
  <si>
    <t>853566722</t>
  </si>
  <si>
    <t>175550508</t>
  </si>
  <si>
    <t>M27NVZ7A8KJ6</t>
  </si>
  <si>
    <t>4512</t>
  </si>
  <si>
    <t>11239</t>
  </si>
  <si>
    <t>WENDEN ELEMENTARY SCHOOL DISTRICT</t>
  </si>
  <si>
    <t>71001 E SANTA FE AVE</t>
  </si>
  <si>
    <t>WENDEN</t>
  </si>
  <si>
    <t>ARIZON A</t>
  </si>
  <si>
    <t>853570008</t>
  </si>
  <si>
    <t>183870104</t>
  </si>
  <si>
    <t>D5JJD893NDK9</t>
  </si>
  <si>
    <t>79497</t>
  </si>
  <si>
    <t>10474</t>
  </si>
  <si>
    <t>West Gilbert Charter Elementary School, INC</t>
  </si>
  <si>
    <t>2400 S. 247 Avenue School</t>
  </si>
  <si>
    <t>85326-9628</t>
  </si>
  <si>
    <t>784226610</t>
  </si>
  <si>
    <t>X377MKFHM8K3</t>
  </si>
  <si>
    <t>79990</t>
  </si>
  <si>
    <t>10430</t>
  </si>
  <si>
    <t>West Gilbert Charter Schools</t>
  </si>
  <si>
    <t>2645 N 24th Street</t>
  </si>
  <si>
    <t>096831214</t>
  </si>
  <si>
    <t>K7MSPLMEN8Y5</t>
  </si>
  <si>
    <t>130209705</t>
  </si>
  <si>
    <t>West Sedona Montessori Class Charter</t>
  </si>
  <si>
    <t>90036</t>
  </si>
  <si>
    <t>10320</t>
  </si>
  <si>
    <t>West Valley Arts &amp; Technology Academy Inc.</t>
  </si>
  <si>
    <t>5625 S. 51st Ave.</t>
  </si>
  <si>
    <t>85339-6330</t>
  </si>
  <si>
    <t>827585584</t>
  </si>
  <si>
    <t>J44BKRF1J9W4</t>
  </si>
  <si>
    <t>070802000</t>
  </si>
  <si>
    <t>80923</t>
  </si>
  <si>
    <t>West-MEC - Western Maricopa Education Center</t>
  </si>
  <si>
    <t>10395</t>
  </si>
  <si>
    <t>Western Maricopa Education Center</t>
  </si>
  <si>
    <t>5487 N. 99th Ave</t>
  </si>
  <si>
    <t>853052202</t>
  </si>
  <si>
    <t>185412116</t>
  </si>
  <si>
    <t>C7AYDVC36LX5</t>
  </si>
  <si>
    <t>072178000</t>
  </si>
  <si>
    <t>Westbridge School For Children</t>
  </si>
  <si>
    <t>082701000</t>
  </si>
  <si>
    <t>87724</t>
  </si>
  <si>
    <t>WestCare Arizona</t>
  </si>
  <si>
    <t>821 Hancock Road STE 2</t>
  </si>
  <si>
    <t>864425034</t>
  </si>
  <si>
    <t>143599368</t>
  </si>
  <si>
    <t>142607000</t>
  </si>
  <si>
    <t>Western Arizona Council of Governments</t>
  </si>
  <si>
    <t>10807</t>
  </si>
  <si>
    <t>1235 S. Redondo Center Drive</t>
  </si>
  <si>
    <t>853652039</t>
  </si>
  <si>
    <t>WJX7JJCXL36</t>
  </si>
  <si>
    <t>080850000</t>
  </si>
  <si>
    <t>90123</t>
  </si>
  <si>
    <t>Western Arizona Vocational District #50 50</t>
  </si>
  <si>
    <t>11357</t>
  </si>
  <si>
    <t>Western Arizona Vocational Education District dba WAVE JTED</t>
  </si>
  <si>
    <t>700 W Beale St</t>
  </si>
  <si>
    <t>832403203</t>
  </si>
  <si>
    <t>UHE1ZRRDAQ27</t>
  </si>
  <si>
    <t>91937</t>
  </si>
  <si>
    <t>10135</t>
  </si>
  <si>
    <t>6515 W INDIAN SCHOOL RD</t>
  </si>
  <si>
    <t>850333330</t>
  </si>
  <si>
    <t>078746157</t>
  </si>
  <si>
    <t>FMRPLS5EQ8J3</t>
  </si>
  <si>
    <t>078773000</t>
  </si>
  <si>
    <t>6363</t>
  </si>
  <si>
    <t>Westwind Children''s Services</t>
  </si>
  <si>
    <t>10331</t>
  </si>
  <si>
    <t>2045 W NORTHERN AVE</t>
  </si>
  <si>
    <t>850215157</t>
  </si>
  <si>
    <t>111866612</t>
  </si>
  <si>
    <t>078931000</t>
  </si>
  <si>
    <t>79483</t>
  </si>
  <si>
    <t>Westwind Middle School Academy</t>
  </si>
  <si>
    <t>10485</t>
  </si>
  <si>
    <t>968264692</t>
  </si>
  <si>
    <t>4394</t>
  </si>
  <si>
    <t>11405</t>
  </si>
  <si>
    <t>WHITERIVER UNIFIED SCHOOL DISTRICT 20</t>
  </si>
  <si>
    <t>959 South CHIEF AVENUE</t>
  </si>
  <si>
    <t>WHITERIVER</t>
  </si>
  <si>
    <t>859410190</t>
  </si>
  <si>
    <t>193318540</t>
  </si>
  <si>
    <t>JW82B5EJ88A9</t>
  </si>
  <si>
    <t>4236</t>
  </si>
  <si>
    <t>11351</t>
  </si>
  <si>
    <t>Wickenburg Unified School District #9</t>
  </si>
  <si>
    <t>101 E. Coconino St</t>
  </si>
  <si>
    <t>Wickenburg</t>
  </si>
  <si>
    <t>853903334</t>
  </si>
  <si>
    <t>0020902096</t>
  </si>
  <si>
    <t>L356EU6UC7L4</t>
  </si>
  <si>
    <t>018757000</t>
  </si>
  <si>
    <t>Wide Ruins Community School Inc</t>
  </si>
  <si>
    <t>CHAMBERS</t>
  </si>
  <si>
    <t>86502</t>
  </si>
  <si>
    <t>104164488</t>
  </si>
  <si>
    <t>108729000</t>
  </si>
  <si>
    <t>88227</t>
  </si>
  <si>
    <t>Wildcat Secondary School</t>
  </si>
  <si>
    <t>10374</t>
  </si>
  <si>
    <t>964255421</t>
  </si>
  <si>
    <t>4170</t>
  </si>
  <si>
    <t>11169</t>
  </si>
  <si>
    <t>Willcox Unified School District #13</t>
  </si>
  <si>
    <t>480 N. Bisbee Ave</t>
  </si>
  <si>
    <t>856431509</t>
  </si>
  <si>
    <t>100002245</t>
  </si>
  <si>
    <t>NFAUJYAM4VW1</t>
  </si>
  <si>
    <t>022207000</t>
  </si>
  <si>
    <t>90225</t>
  </si>
  <si>
    <t>Willcox United Methodist Church</t>
  </si>
  <si>
    <t>15629</t>
  </si>
  <si>
    <t>124 S Curtis</t>
  </si>
  <si>
    <t>856432113</t>
  </si>
  <si>
    <t>148757131</t>
  </si>
  <si>
    <t>4193</t>
  </si>
  <si>
    <t>11185</t>
  </si>
  <si>
    <t>Williams Unified School District #2</t>
  </si>
  <si>
    <t>636 S 7th Street</t>
  </si>
  <si>
    <t>Williams</t>
  </si>
  <si>
    <t>860462331</t>
  </si>
  <si>
    <t>100002260</t>
  </si>
  <si>
    <t>FN3LCKMLPYC8</t>
  </si>
  <si>
    <t>130302000</t>
  </si>
  <si>
    <t>4475</t>
  </si>
  <si>
    <t>Williamson Valley Elementary School District</t>
  </si>
  <si>
    <t>Williamson Valley Elementary District #2</t>
  </si>
  <si>
    <t>2970 Centerpointe East Dr</t>
  </si>
  <si>
    <t>86301-8426</t>
  </si>
  <si>
    <t>100002278</t>
  </si>
  <si>
    <t>4261</t>
  </si>
  <si>
    <t>11353</t>
  </si>
  <si>
    <t>Wilson Elementary School District #7</t>
  </si>
  <si>
    <t>3025 E Fillmore ST</t>
  </si>
  <si>
    <t>850086120</t>
  </si>
  <si>
    <t>002902104</t>
  </si>
  <si>
    <t>LV2FCT5QC3P1</t>
  </si>
  <si>
    <t>4154</t>
  </si>
  <si>
    <t>11125</t>
  </si>
  <si>
    <t>Window Rock Unified School District 8</t>
  </si>
  <si>
    <t>Navajo Route 12</t>
  </si>
  <si>
    <t>Fort Defiance</t>
  </si>
  <si>
    <t>865040559</t>
  </si>
  <si>
    <t>125398370</t>
  </si>
  <si>
    <t>Z84FS6DPMSN3</t>
  </si>
  <si>
    <t>4387</t>
  </si>
  <si>
    <t>11407</t>
  </si>
  <si>
    <t>Winslow Unified School District 1</t>
  </si>
  <si>
    <t>800 N Apache Ave</t>
  </si>
  <si>
    <t>Winslow</t>
  </si>
  <si>
    <t>Arirzona</t>
  </si>
  <si>
    <t>860473819</t>
  </si>
  <si>
    <t>100002294</t>
  </si>
  <si>
    <t>ZETHU5AAKUT4</t>
  </si>
  <si>
    <t>023201000</t>
  </si>
  <si>
    <t>1002203</t>
  </si>
  <si>
    <t>World Of Wonder Preschool And Daycare, LLC</t>
  </si>
  <si>
    <t>10870</t>
  </si>
  <si>
    <t>4699 E HIGHWAY 90</t>
  </si>
  <si>
    <t>856352437</t>
  </si>
  <si>
    <t>078848000</t>
  </si>
  <si>
    <t>World School Foundation Inc., dba Arizona International School</t>
  </si>
  <si>
    <t>4485</t>
  </si>
  <si>
    <t>11553</t>
  </si>
  <si>
    <t>Yarnell Elementary School District #52</t>
  </si>
  <si>
    <t>18912 Hays Ranch Road</t>
  </si>
  <si>
    <t>Peeples Valley</t>
  </si>
  <si>
    <t>863328712</t>
  </si>
  <si>
    <t>100002302</t>
  </si>
  <si>
    <t>KJP7AXT7YKC8</t>
  </si>
  <si>
    <t>79379</t>
  </si>
  <si>
    <t>11555</t>
  </si>
  <si>
    <t>YAVAPAI ACCOMMODATION SCHOOL DISTRICT</t>
  </si>
  <si>
    <t>2972 Centerpointe East Drive</t>
  </si>
  <si>
    <t>PRESCOTT VALLEY</t>
  </si>
  <si>
    <t>863018426</t>
  </si>
  <si>
    <t>019460640</t>
  </si>
  <si>
    <t>KKJJHJJZJ375</t>
  </si>
  <si>
    <t>130601001</t>
  </si>
  <si>
    <t>8178</t>
  </si>
  <si>
    <t>Yavapai College</t>
  </si>
  <si>
    <t>12611</t>
  </si>
  <si>
    <t>Yavapai County Community College District</t>
  </si>
  <si>
    <t>1100 E Sheldon St</t>
  </si>
  <si>
    <t>86301-3220</t>
  </si>
  <si>
    <t>072447105</t>
  </si>
  <si>
    <t>DGVVZL5ZXJD3</t>
  </si>
  <si>
    <t>131899000</t>
  </si>
  <si>
    <t>79194</t>
  </si>
  <si>
    <t>Yavapai County Education Service Agency</t>
  </si>
  <si>
    <t>13357</t>
  </si>
  <si>
    <t>YAVAPAI, COUNTY OF DBA SCHOOL SUPERINTENDANT</t>
  </si>
  <si>
    <t>2970 Centerpointe East DR</t>
  </si>
  <si>
    <t>FYBRW2NQCR26</t>
  </si>
  <si>
    <t>79533</t>
  </si>
  <si>
    <t>10683</t>
  </si>
  <si>
    <t>YAVAPAI, COUNTY OF</t>
  </si>
  <si>
    <t>1015 FAIR ST</t>
  </si>
  <si>
    <t>86305-1807</t>
  </si>
  <si>
    <t>07447296</t>
  </si>
  <si>
    <t>H1RCC7MAXBL6</t>
  </si>
  <si>
    <t>79492</t>
  </si>
  <si>
    <t>134599000</t>
  </si>
  <si>
    <t>Yavapai-Apache Nation</t>
  </si>
  <si>
    <t>15541</t>
  </si>
  <si>
    <t>2400 West Datsi Street</t>
  </si>
  <si>
    <t>863228412</t>
  </si>
  <si>
    <t>017872552</t>
  </si>
  <si>
    <t>SAGLFZK7UK2</t>
  </si>
  <si>
    <t>138703000</t>
  </si>
  <si>
    <t>YCFA Achieve Academy</t>
  </si>
  <si>
    <t>4213</t>
  </si>
  <si>
    <t>11205</t>
  </si>
  <si>
    <t>Young PUBLIC SCHOOL</t>
  </si>
  <si>
    <t>HWY 288 Baker Ranch RD</t>
  </si>
  <si>
    <t>Young</t>
  </si>
  <si>
    <t>855540390</t>
  </si>
  <si>
    <t>148882236</t>
  </si>
  <si>
    <t>RL6XN7PRHXJ4</t>
  </si>
  <si>
    <t>4385</t>
  </si>
  <si>
    <t>10318</t>
  </si>
  <si>
    <t>Young Scholar's Academy Charter School Corp</t>
  </si>
  <si>
    <t>1501 Valencia Rd.</t>
  </si>
  <si>
    <t>86426-5218</t>
  </si>
  <si>
    <t>961810066</t>
  </si>
  <si>
    <t>ZHK9JJ53MWH3</t>
  </si>
  <si>
    <t>078933000</t>
  </si>
  <si>
    <t>79487</t>
  </si>
  <si>
    <t>Youngtown Public Charter School</t>
  </si>
  <si>
    <t>10479</t>
  </si>
  <si>
    <t>799904789</t>
  </si>
  <si>
    <t>4377</t>
  </si>
  <si>
    <t>11383</t>
  </si>
  <si>
    <t>Yucca Elementary School District 13</t>
  </si>
  <si>
    <t>12261 S 3RD Street</t>
  </si>
  <si>
    <t>Yucca</t>
  </si>
  <si>
    <t>864380128</t>
  </si>
  <si>
    <t>800178001</t>
  </si>
  <si>
    <t>ZQZWN3K2NDQ1</t>
  </si>
  <si>
    <t>140199000</t>
  </si>
  <si>
    <t>Yuma County Accommodation District</t>
  </si>
  <si>
    <t>149999003</t>
  </si>
  <si>
    <t>79196</t>
  </si>
  <si>
    <t>Yuma County Education Service Agency</t>
  </si>
  <si>
    <t>11577</t>
  </si>
  <si>
    <t>YUMA COUNTY Of</t>
  </si>
  <si>
    <t>198 South MAIN STREET</t>
  </si>
  <si>
    <t>YUMA</t>
  </si>
  <si>
    <t>79524</t>
  </si>
  <si>
    <t>10681</t>
  </si>
  <si>
    <t>Yuma, County Of</t>
  </si>
  <si>
    <t>198 S MAIN STREET</t>
  </si>
  <si>
    <t>79472</t>
  </si>
  <si>
    <t>10734</t>
  </si>
  <si>
    <t>149999001</t>
  </si>
  <si>
    <t>Yuma County Superintendent Cooperative Support Services</t>
  </si>
  <si>
    <t>13381</t>
  </si>
  <si>
    <t>4499</t>
  </si>
  <si>
    <t>11579</t>
  </si>
  <si>
    <t>Yuma School District Number One</t>
  </si>
  <si>
    <t>450 W 6th Street</t>
  </si>
  <si>
    <t>85364-2973</t>
  </si>
  <si>
    <t>014500060</t>
  </si>
  <si>
    <t>R6JAK3Y172T7</t>
  </si>
  <si>
    <t>4509</t>
  </si>
  <si>
    <t>10179</t>
  </si>
  <si>
    <t>3834 W 16th St</t>
  </si>
  <si>
    <t>85364-4107</t>
  </si>
  <si>
    <t>148806946</t>
  </si>
  <si>
    <t>NZJ4LA9RZ8S5</t>
  </si>
  <si>
    <t>4507</t>
  </si>
  <si>
    <t>11581</t>
  </si>
  <si>
    <t>YUMA UNION HIGH SCHOOL DISTRICT</t>
  </si>
  <si>
    <t>3150 S Avenue A</t>
  </si>
  <si>
    <t>853647928</t>
  </si>
  <si>
    <t>020690392</t>
  </si>
  <si>
    <t>YLQGGQHP9G37</t>
  </si>
  <si>
    <t>Allocations by Type</t>
  </si>
  <si>
    <r>
      <rPr>
        <b/>
        <sz val="10"/>
        <color rgb="FF000000"/>
        <rFont val="Arial"/>
      </rPr>
      <t xml:space="preserve">Fiscal Year: </t>
    </r>
    <r>
      <rPr>
        <sz val="10"/>
        <color rgb="FF000000"/>
        <rFont val="Arial"/>
      </rPr>
      <t>2024</t>
    </r>
  </si>
  <si>
    <r>
      <rPr>
        <b/>
        <sz val="10"/>
        <color rgb="FF000000"/>
        <rFont val="Arial"/>
      </rPr>
      <t xml:space="preserve">Funding Application(s): </t>
    </r>
    <r>
      <rPr>
        <sz val="10"/>
        <color rgb="FF000000"/>
        <rFont val="Arial"/>
      </rPr>
      <t>IDEA Part B Consolidated</t>
    </r>
  </si>
  <si>
    <r>
      <rPr>
        <b/>
        <sz val="10"/>
        <color rgb="FF000000"/>
        <rFont val="Arial"/>
      </rPr>
      <t xml:space="preserve">Grant(s): </t>
    </r>
    <r>
      <rPr>
        <sz val="10"/>
        <color rgb="FF000000"/>
        <rFont val="Arial"/>
      </rPr>
      <t>Section 611 - Subgrants to LEAs; Section 619 - Preschool Subgrants to LEAs</t>
    </r>
  </si>
  <si>
    <t>Fiscal Year</t>
  </si>
  <si>
    <t>Funding Application</t>
  </si>
  <si>
    <t>Grant</t>
  </si>
  <si>
    <t>Org Code</t>
  </si>
  <si>
    <t>Organization</t>
  </si>
  <si>
    <t>Original</t>
  </si>
  <si>
    <t>Incoming Carryover</t>
  </si>
  <si>
    <t>Outgoing Carryover</t>
  </si>
  <si>
    <t>Reallocated</t>
  </si>
  <si>
    <t>Additional</t>
  </si>
  <si>
    <t>Incoming Interest Carryover</t>
  </si>
  <si>
    <t>Released</t>
  </si>
  <si>
    <t>Consortium</t>
  </si>
  <si>
    <t>Forfeited</t>
  </si>
  <si>
    <t>CR Released</t>
  </si>
  <si>
    <t>Total</t>
  </si>
  <si>
    <t>Section 611 - Subgrants to LEAs</t>
  </si>
  <si>
    <t>Indirect Cost Rate</t>
  </si>
  <si>
    <t>Status Updated</t>
  </si>
  <si>
    <t>Status Change User</t>
  </si>
  <si>
    <t>Number of days between LEA Submitted and ADE Action</t>
  </si>
  <si>
    <t>Unrestricted Rate (Uncapped)</t>
  </si>
  <si>
    <t>Unrestricted Rate Max 18%)</t>
  </si>
  <si>
    <t>Restricted Rate (Uncapped)</t>
  </si>
  <si>
    <t>Restricted Rate Max 8%)</t>
  </si>
  <si>
    <t>SEA Indirect Cost Request Approved</t>
  </si>
  <si>
    <t>Ryan Adame</t>
  </si>
  <si>
    <t>Edna Perez</t>
  </si>
  <si>
    <t>Jenny Young</t>
  </si>
  <si>
    <t>Gatjeak Gew</t>
  </si>
  <si>
    <t>SEA Indirect Cost Request Returned for Edits</t>
  </si>
  <si>
    <t>Krystal Chacon</t>
  </si>
  <si>
    <t>David Morehouse</t>
  </si>
  <si>
    <t>Joseph Tuiteleleapaga</t>
  </si>
  <si>
    <t>Jon Chase</t>
  </si>
  <si>
    <t>LEA Indirect Cost Request Started</t>
  </si>
  <si>
    <t>Paula Celaya</t>
  </si>
  <si>
    <t>Ingrid Rope</t>
  </si>
  <si>
    <t>Michelle Stout</t>
  </si>
  <si>
    <t>Kevin Boyer</t>
  </si>
  <si>
    <t>Ronald Aguallo</t>
  </si>
  <si>
    <t>Alina Meraz</t>
  </si>
  <si>
    <t>Forrest Valora</t>
  </si>
  <si>
    <t>Monica Barajas</t>
  </si>
  <si>
    <t>Mayra Martinez</t>
  </si>
  <si>
    <t>Shari Costa</t>
  </si>
  <si>
    <t>Barbara Warren</t>
  </si>
  <si>
    <t>Edgar Garcia</t>
  </si>
  <si>
    <t>Christina Pina</t>
  </si>
  <si>
    <t>Section 619 - Preschool Subgrants to LEAs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</si>
</sst>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10409]mm/dd/yyyy"/>
    <numFmt numFmtId="165" formatCode="[$-10409]&quot;$&quot;#,##0.00;\(&quot;$&quot;#,##0.00\)"/>
    <numFmt numFmtId="166" formatCode="[$-10409]0.00;\(0.00\)"/>
  </numFmts>
  <fonts count="18">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i/>
      <sz val="11"/>
      <color rgb="FFFF0000"/>
      <name val="Calibri"/>
      <family val="2"/>
      <scheme val="minor"/>
    </font>
    <font>
      <sz val="11"/>
      <name val="Calibri"/>
      <family val="2"/>
      <scheme val="minor"/>
    </font>
    <font>
      <u/>
      <sz val="11"/>
      <color theme="1"/>
      <name val="Calibri"/>
      <family val="2"/>
      <scheme val="minor"/>
    </font>
    <font>
      <i/>
      <sz val="11"/>
      <color theme="1"/>
      <name val="Calibri"/>
      <family val="2"/>
      <scheme val="minor"/>
    </font>
    <font>
      <sz val="11"/>
      <color rgb="FF000000"/>
      <name val="Calibri"/>
      <family val="2"/>
      <scheme val="minor"/>
    </font>
    <font>
      <b/>
      <sz val="14"/>
      <color rgb="FF000000"/>
      <name val="Arial"/>
    </font>
    <font>
      <sz val="11"/>
      <name val="Calibri"/>
    </font>
    <font>
      <b/>
      <sz val="10"/>
      <color rgb="FF000000"/>
      <name val="Arial"/>
    </font>
    <font>
      <sz val="10"/>
      <color rgb="FF000000"/>
      <name val="Arial"/>
    </font>
    <font>
      <b/>
      <sz val="10"/>
      <color rgb="FFFFFFFF"/>
      <name val="Arial"/>
    </font>
    <font>
      <sz val="8"/>
      <name val="Calibri"/>
      <family val="2"/>
      <scheme val="minor"/>
    </font>
    <font>
      <sz val="11"/>
      <color theme="1"/>
      <name val="Symbol"/>
      <family val="1"/>
      <charset val="2"/>
    </font>
    <font>
      <sz val="7"/>
      <color theme="1"/>
      <name val="Times New Roman"/>
      <family val="1"/>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467F"/>
        <bgColor rgb="FF00467F"/>
      </patternFill>
    </fill>
    <fill>
      <patternFill patternType="solid">
        <fgColor rgb="FFF1F7FB"/>
        <bgColor rgb="FFF1F7FB"/>
      </patternFill>
    </fill>
    <fill>
      <patternFill patternType="solid">
        <fgColor rgb="FFCCE2F2"/>
        <bgColor rgb="FFCCE2F2"/>
      </patternFill>
    </fill>
    <fill>
      <patternFill patternType="solid">
        <fgColor theme="0"/>
        <bgColor indexed="64"/>
      </patternFill>
    </fill>
  </fills>
  <borders count="10">
    <border>
      <left/>
      <right/>
      <top/>
      <bottom/>
      <diagonal/>
    </border>
    <border>
      <left/>
      <right/>
      <top/>
      <bottom style="double">
        <color indexed="64"/>
      </bottom>
      <diagonal/>
    </border>
    <border>
      <left/>
      <right/>
      <top style="double">
        <color indexed="64"/>
      </top>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8" fillId="0" borderId="0"/>
    <xf numFmtId="0" fontId="17" fillId="0" borderId="0" applyNumberFormat="0" applyFill="0" applyBorder="0" applyAlignment="0" applyProtection="0"/>
    <xf numFmtId="9" fontId="1" fillId="0" borderId="0" applyFont="0" applyFill="0" applyBorder="0" applyAlignment="0" applyProtection="0"/>
  </cellStyleXfs>
  <cellXfs count="93">
    <xf numFmtId="0" fontId="0" fillId="0" borderId="0" xfId="0"/>
    <xf numFmtId="14" fontId="0" fillId="0" borderId="0" xfId="0" applyNumberFormat="1"/>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wrapText="1"/>
    </xf>
    <xf numFmtId="0" fontId="0" fillId="0" borderId="2" xfId="0" applyBorder="1"/>
    <xf numFmtId="0" fontId="0" fillId="0" borderId="0" xfId="0" applyAlignment="1">
      <alignment vertical="center" wrapText="1"/>
    </xf>
    <xf numFmtId="0" fontId="0" fillId="0" borderId="0" xfId="0" applyAlignment="1">
      <alignment vertical="center"/>
    </xf>
    <xf numFmtId="0" fontId="5" fillId="0" borderId="0" xfId="0" quotePrefix="1" applyFont="1" applyAlignment="1">
      <alignment wrapText="1"/>
    </xf>
    <xf numFmtId="0" fontId="5" fillId="0" borderId="0" xfId="0" quotePrefix="1" applyFont="1" applyAlignment="1">
      <alignment vertical="top" wrapText="1"/>
    </xf>
    <xf numFmtId="0" fontId="0" fillId="0" borderId="0" xfId="0" applyAlignment="1">
      <alignment vertical="top" wrapText="1"/>
    </xf>
    <xf numFmtId="0" fontId="0" fillId="0" borderId="3" xfId="0" applyBorder="1" applyAlignment="1">
      <alignment vertical="center" wrapText="1"/>
    </xf>
    <xf numFmtId="0" fontId="0" fillId="0" borderId="3" xfId="0" applyBorder="1" applyAlignment="1">
      <alignment wrapText="1"/>
    </xf>
    <xf numFmtId="0" fontId="0" fillId="0" borderId="3" xfId="0" applyBorder="1"/>
    <xf numFmtId="0" fontId="0" fillId="0" borderId="4" xfId="0" applyBorder="1" applyAlignment="1">
      <alignment vertical="center"/>
    </xf>
    <xf numFmtId="0" fontId="0" fillId="0" borderId="4" xfId="0" applyBorder="1" applyAlignment="1">
      <alignment vertical="top" wrapText="1"/>
    </xf>
    <xf numFmtId="0" fontId="0" fillId="0" borderId="4" xfId="0" applyBorder="1"/>
    <xf numFmtId="0" fontId="7" fillId="0" borderId="0" xfId="0" applyFont="1" applyAlignment="1">
      <alignment vertical="top" wrapText="1"/>
    </xf>
    <xf numFmtId="0" fontId="0" fillId="0" borderId="4" xfId="0" quotePrefix="1" applyBorder="1"/>
    <xf numFmtId="0" fontId="0" fillId="0" borderId="0" xfId="0" quotePrefix="1"/>
    <xf numFmtId="0" fontId="7" fillId="0" borderId="3" xfId="0" applyFont="1" applyBorder="1" applyAlignment="1">
      <alignment wrapText="1"/>
    </xf>
    <xf numFmtId="0" fontId="0" fillId="0" borderId="3" xfId="0" applyBorder="1" applyAlignment="1">
      <alignment vertical="top" wrapText="1"/>
    </xf>
    <xf numFmtId="14" fontId="0" fillId="0" borderId="3" xfId="0" applyNumberFormat="1" applyBorder="1"/>
    <xf numFmtId="14" fontId="0" fillId="0" borderId="0" xfId="0" applyNumberFormat="1" applyAlignment="1">
      <alignment vertical="center"/>
    </xf>
    <xf numFmtId="14" fontId="0" fillId="0" borderId="3" xfId="0" applyNumberFormat="1" applyBorder="1" applyAlignment="1">
      <alignment vertical="center"/>
    </xf>
    <xf numFmtId="0" fontId="0" fillId="2" borderId="5" xfId="0" applyFill="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xf numFmtId="0" fontId="0" fillId="0" borderId="5" xfId="0" applyBorder="1" applyAlignment="1">
      <alignment wrapText="1"/>
    </xf>
    <xf numFmtId="0" fontId="5" fillId="0" borderId="4" xfId="0" applyFont="1" applyBorder="1" applyAlignment="1">
      <alignment wrapText="1"/>
    </xf>
    <xf numFmtId="10" fontId="0" fillId="0" borderId="4" xfId="0" applyNumberFormat="1" applyBorder="1"/>
    <xf numFmtId="0" fontId="5" fillId="0" borderId="3" xfId="0" quotePrefix="1" applyFont="1" applyBorder="1" applyAlignment="1">
      <alignment wrapText="1"/>
    </xf>
    <xf numFmtId="0" fontId="9" fillId="0" borderId="0" xfId="2" applyFont="1" applyAlignment="1">
      <alignment vertical="top" wrapText="1" readingOrder="1"/>
    </xf>
    <xf numFmtId="0" fontId="10" fillId="0" borderId="0" xfId="2" applyFont="1"/>
    <xf numFmtId="0" fontId="11" fillId="0" borderId="0" xfId="2" applyFont="1" applyAlignment="1">
      <alignment vertical="top" wrapText="1" readingOrder="1"/>
    </xf>
    <xf numFmtId="0" fontId="13" fillId="3" borderId="6" xfId="2" applyFont="1" applyFill="1" applyBorder="1" applyAlignment="1">
      <alignment horizontal="center" vertical="top" wrapText="1" readingOrder="1"/>
    </xf>
    <xf numFmtId="0" fontId="13" fillId="3" borderId="6" xfId="2" applyFont="1" applyFill="1" applyBorder="1" applyAlignment="1">
      <alignment vertical="top" wrapText="1" readingOrder="1"/>
    </xf>
    <xf numFmtId="0" fontId="13" fillId="3" borderId="6" xfId="2" applyFont="1" applyFill="1" applyBorder="1" applyAlignment="1">
      <alignment horizontal="left" vertical="top" wrapText="1" readingOrder="1"/>
    </xf>
    <xf numFmtId="0" fontId="10" fillId="0" borderId="7" xfId="2" applyFont="1" applyBorder="1" applyAlignment="1">
      <alignment vertical="top" wrapText="1"/>
    </xf>
    <xf numFmtId="0" fontId="12" fillId="4" borderId="6" xfId="2" applyFont="1" applyFill="1" applyBorder="1" applyAlignment="1">
      <alignment horizontal="center" vertical="top" wrapText="1" readingOrder="1"/>
    </xf>
    <xf numFmtId="0" fontId="12" fillId="4" borderId="6" xfId="2" applyFont="1" applyFill="1" applyBorder="1" applyAlignment="1">
      <alignment vertical="top" wrapText="1" readingOrder="1"/>
    </xf>
    <xf numFmtId="0" fontId="12" fillId="4" borderId="6" xfId="2" applyFont="1" applyFill="1" applyBorder="1" applyAlignment="1">
      <alignment horizontal="left" vertical="top" wrapText="1" readingOrder="1"/>
    </xf>
    <xf numFmtId="0" fontId="12" fillId="5" borderId="6" xfId="2" applyFont="1" applyFill="1" applyBorder="1" applyAlignment="1">
      <alignment horizontal="center" vertical="top" wrapText="1" readingOrder="1"/>
    </xf>
    <xf numFmtId="0" fontId="12" fillId="5" borderId="6" xfId="2" applyFont="1" applyFill="1" applyBorder="1" applyAlignment="1">
      <alignment vertical="top" wrapText="1" readingOrder="1"/>
    </xf>
    <xf numFmtId="164" fontId="12" fillId="5" borderId="6" xfId="2" applyNumberFormat="1" applyFont="1" applyFill="1" applyBorder="1" applyAlignment="1">
      <alignment horizontal="center" vertical="top" wrapText="1" readingOrder="1"/>
    </xf>
    <xf numFmtId="0" fontId="12" fillId="5" borderId="6" xfId="2" applyFont="1" applyFill="1" applyBorder="1" applyAlignment="1">
      <alignment horizontal="left" vertical="top" wrapText="1" readingOrder="1"/>
    </xf>
    <xf numFmtId="164" fontId="12" fillId="4" borderId="6" xfId="2" applyNumberFormat="1" applyFont="1" applyFill="1" applyBorder="1" applyAlignment="1">
      <alignment horizontal="center" vertical="top" wrapText="1" readingOrder="1"/>
    </xf>
    <xf numFmtId="0" fontId="13" fillId="3" borderId="6" xfId="2" applyFont="1" applyFill="1" applyBorder="1" applyAlignment="1">
      <alignment horizontal="right" vertical="top" wrapText="1" readingOrder="1"/>
    </xf>
    <xf numFmtId="165" fontId="12" fillId="5" borderId="6" xfId="2" applyNumberFormat="1" applyFont="1" applyFill="1" applyBorder="1" applyAlignment="1">
      <alignment horizontal="right" vertical="top" wrapText="1" readingOrder="1"/>
    </xf>
    <xf numFmtId="165" fontId="12" fillId="4" borderId="6" xfId="2" applyNumberFormat="1" applyFont="1" applyFill="1" applyBorder="1" applyAlignment="1">
      <alignment horizontal="right" vertical="top" wrapText="1" readingOrder="1"/>
    </xf>
    <xf numFmtId="0" fontId="9" fillId="0" borderId="0" xfId="2" applyFont="1" applyAlignment="1">
      <alignment horizontal="left" wrapText="1" readingOrder="1"/>
    </xf>
    <xf numFmtId="166" fontId="12" fillId="4" borderId="6" xfId="2" applyNumberFormat="1" applyFont="1" applyFill="1" applyBorder="1" applyAlignment="1">
      <alignment horizontal="right" vertical="top" wrapText="1" readingOrder="1"/>
    </xf>
    <xf numFmtId="166" fontId="12" fillId="5" borderId="6" xfId="2" applyNumberFormat="1" applyFont="1" applyFill="1" applyBorder="1" applyAlignment="1">
      <alignment horizontal="right" vertical="top" wrapText="1" readingOrder="1"/>
    </xf>
    <xf numFmtId="0" fontId="9" fillId="0" borderId="8" xfId="2" applyFont="1" applyBorder="1" applyAlignment="1">
      <alignment vertical="top" wrapText="1" readingOrder="1"/>
    </xf>
    <xf numFmtId="44" fontId="0" fillId="0" borderId="0" xfId="1" applyFont="1" applyAlignment="1"/>
    <xf numFmtId="0" fontId="0" fillId="2" borderId="0" xfId="0" applyFill="1"/>
    <xf numFmtId="0" fontId="0" fillId="6" borderId="0" xfId="0" applyFill="1"/>
    <xf numFmtId="0" fontId="0" fillId="6" borderId="0" xfId="0" applyFill="1" applyAlignment="1">
      <alignment vertical="center"/>
    </xf>
    <xf numFmtId="44" fontId="0" fillId="6" borderId="0" xfId="1" applyFont="1" applyFill="1"/>
    <xf numFmtId="0" fontId="15" fillId="6" borderId="0" xfId="0" applyFont="1" applyFill="1" applyAlignment="1">
      <alignment horizontal="left" vertical="center"/>
    </xf>
    <xf numFmtId="0" fontId="0" fillId="6" borderId="0" xfId="0" applyFill="1" applyAlignment="1">
      <alignment wrapText="1"/>
    </xf>
    <xf numFmtId="44" fontId="0" fillId="6" borderId="9" xfId="1" applyFont="1" applyFill="1" applyBorder="1"/>
    <xf numFmtId="0" fontId="0" fillId="6" borderId="9" xfId="0" applyFill="1" applyBorder="1"/>
    <xf numFmtId="0" fontId="0" fillId="6" borderId="0" xfId="0" applyFill="1" applyAlignment="1">
      <alignment horizontal="left"/>
    </xf>
    <xf numFmtId="0" fontId="17" fillId="6" borderId="0" xfId="3" applyFill="1"/>
    <xf numFmtId="10" fontId="0" fillId="6" borderId="9" xfId="4" applyNumberFormat="1" applyFont="1" applyFill="1" applyBorder="1"/>
    <xf numFmtId="10" fontId="0" fillId="6" borderId="0" xfId="4" applyNumberFormat="1" applyFont="1" applyFill="1" applyBorder="1"/>
    <xf numFmtId="0" fontId="15" fillId="6" borderId="0" xfId="0" applyFont="1" applyFill="1" applyAlignment="1">
      <alignment horizontal="left" vertical="center"/>
    </xf>
    <xf numFmtId="0" fontId="0" fillId="6" borderId="0" xfId="0" applyFill="1" applyAlignment="1">
      <alignment vertical="center" wrapText="1"/>
    </xf>
    <xf numFmtId="0" fontId="0" fillId="6" borderId="0" xfId="0" applyFill="1" applyAlignment="1">
      <alignment wrapText="1"/>
    </xf>
    <xf numFmtId="0" fontId="0" fillId="6" borderId="0" xfId="0" applyFill="1" applyAlignment="1">
      <alignment horizontal="left" vertical="center" wrapText="1"/>
    </xf>
    <xf numFmtId="0" fontId="15" fillId="6" borderId="0" xfId="0" applyFont="1" applyFill="1" applyAlignment="1">
      <alignment horizontal="left" vertical="center" wrapText="1"/>
    </xf>
    <xf numFmtId="0" fontId="0" fillId="2" borderId="4" xfId="0" applyFill="1" applyBorder="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0" xfId="0" applyAlignment="1">
      <alignment vertical="center"/>
    </xf>
    <xf numFmtId="0" fontId="0" fillId="0" borderId="4" xfId="0" applyBorder="1" applyAlignment="1">
      <alignment vertical="center" wrapText="1"/>
    </xf>
    <xf numFmtId="0" fontId="0" fillId="0" borderId="0" xfId="0" applyAlignment="1">
      <alignment wrapText="1"/>
    </xf>
    <xf numFmtId="0" fontId="0" fillId="0" borderId="3" xfId="0" applyBorder="1" applyAlignment="1">
      <alignment wrapText="1"/>
    </xf>
    <xf numFmtId="0" fontId="0" fillId="0" borderId="3" xfId="0" applyBorder="1" applyAlignment="1">
      <alignment vertical="center"/>
    </xf>
    <xf numFmtId="0" fontId="0" fillId="0" borderId="0" xfId="0" applyAlignment="1">
      <alignment horizontal="left" vertical="center"/>
    </xf>
    <xf numFmtId="0" fontId="0" fillId="0" borderId="3" xfId="0" applyBorder="1" applyAlignment="1">
      <alignment horizontal="left" vertical="center"/>
    </xf>
    <xf numFmtId="0" fontId="0" fillId="0" borderId="2" xfId="0" applyBorder="1" applyAlignment="1">
      <alignment vertical="center" wrapText="1"/>
    </xf>
    <xf numFmtId="0" fontId="0" fillId="0" borderId="2" xfId="0" applyBorder="1" applyAlignment="1">
      <alignment vertical="center"/>
    </xf>
    <xf numFmtId="0" fontId="0" fillId="0" borderId="0" xfId="0" applyAlignment="1"/>
    <xf numFmtId="0" fontId="0" fillId="0" borderId="3" xfId="0" applyBorder="1" applyAlignment="1"/>
  </cellXfs>
  <cellStyles count="5">
    <cellStyle name="Currency" xfId="1" builtinId="4"/>
    <cellStyle name="Hyperlink" xfId="3" builtinId="8"/>
    <cellStyle name="Normal" xfId="0" builtinId="0"/>
    <cellStyle name="Normal 2" xfId="2" xr:uid="{00000000-0005-0000-0000-000002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13</xdr:col>
      <xdr:colOff>438870</xdr:colOff>
      <xdr:row>28</xdr:row>
      <xdr:rowOff>439</xdr:rowOff>
    </xdr:to>
    <xdr:pic>
      <xdr:nvPicPr>
        <xdr:cNvPr id="2" name="Picture 1">
          <a:extLst>
            <a:ext uri="{FF2B5EF4-FFF2-40B4-BE49-F238E27FC236}">
              <a16:creationId xmlns:a16="http://schemas.microsoft.com/office/drawing/2014/main" id="{9797CCFA-7C40-1E44-C372-F0399366BE4B}"/>
            </a:ext>
          </a:extLst>
        </xdr:cNvPr>
        <xdr:cNvPicPr>
          <a:picLocks noChangeAspect="1"/>
        </xdr:cNvPicPr>
      </xdr:nvPicPr>
      <xdr:blipFill>
        <a:blip xmlns:r="http://schemas.openxmlformats.org/officeDocument/2006/relationships" r:embed="rId1"/>
        <a:stretch>
          <a:fillRect/>
        </a:stretch>
      </xdr:blipFill>
      <xdr:spPr>
        <a:xfrm>
          <a:off x="47625" y="0"/>
          <a:ext cx="8316045" cy="5067739"/>
        </a:xfrm>
        <a:prstGeom prst="rect">
          <a:avLst/>
        </a:prstGeom>
      </xdr:spPr>
    </xdr:pic>
    <xdr:clientData/>
  </xdr:twoCellAnchor>
  <xdr:twoCellAnchor>
    <xdr:from>
      <xdr:col>14</xdr:col>
      <xdr:colOff>179070</xdr:colOff>
      <xdr:row>0</xdr:row>
      <xdr:rowOff>167640</xdr:rowOff>
    </xdr:from>
    <xdr:to>
      <xdr:col>25</xdr:col>
      <xdr:colOff>26670</xdr:colOff>
      <xdr:row>17</xdr:row>
      <xdr:rowOff>38100</xdr:rowOff>
    </xdr:to>
    <xdr:sp macro="" textlink="">
      <xdr:nvSpPr>
        <xdr:cNvPr id="3" name="TextBox 2">
          <a:extLst>
            <a:ext uri="{FF2B5EF4-FFF2-40B4-BE49-F238E27FC236}">
              <a16:creationId xmlns:a16="http://schemas.microsoft.com/office/drawing/2014/main" id="{5D097C3E-DAA5-64B1-16EE-6FFD2868BE61}"/>
            </a:ext>
          </a:extLst>
        </xdr:cNvPr>
        <xdr:cNvSpPr txBox="1"/>
      </xdr:nvSpPr>
      <xdr:spPr>
        <a:xfrm>
          <a:off x="8713470" y="167640"/>
          <a:ext cx="6553200" cy="2947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Type</a:t>
          </a:r>
          <a:r>
            <a:rPr lang="en-US" sz="1800" baseline="0"/>
            <a:t> or use the drop down menu to find the public education agency CTDS number.</a:t>
          </a:r>
        </a:p>
        <a:p>
          <a:endParaRPr lang="en-US" sz="1800" baseline="0"/>
        </a:p>
        <a:p>
          <a:r>
            <a:rPr lang="en-US" sz="1800" baseline="0"/>
            <a:t>The sheet will autopopulate the values for award amounts, UEI, and indirect cost rates.</a:t>
          </a:r>
        </a:p>
        <a:p>
          <a:endParaRPr lang="en-US" sz="1800" baseline="0"/>
        </a:p>
        <a:p>
          <a:r>
            <a:rPr lang="en-US" sz="1800" baseline="0"/>
            <a:t>Print the report or save as PDF.</a:t>
          </a:r>
        </a:p>
        <a:p>
          <a:endParaRPr lang="en-US" sz="1800" baseline="0"/>
        </a:p>
        <a:p>
          <a:r>
            <a:rPr lang="en-US" sz="1800" baseline="0"/>
            <a:t>For questions, please contact essprogmgmt@azed.gov </a:t>
          </a:r>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20</xdr:col>
      <xdr:colOff>471854</xdr:colOff>
      <xdr:row>15</xdr:row>
      <xdr:rowOff>85725</xdr:rowOff>
    </xdr:to>
    <xdr:sp macro="" textlink="">
      <xdr:nvSpPr>
        <xdr:cNvPr id="3" name="TextBox 2">
          <a:extLst>
            <a:ext uri="{FF2B5EF4-FFF2-40B4-BE49-F238E27FC236}">
              <a16:creationId xmlns:a16="http://schemas.microsoft.com/office/drawing/2014/main" id="{261A65C4-2238-410F-98E9-54F6F450EF08}"/>
            </a:ext>
          </a:extLst>
        </xdr:cNvPr>
        <xdr:cNvSpPr txBox="1"/>
      </xdr:nvSpPr>
      <xdr:spPr>
        <a:xfrm>
          <a:off x="8352692" y="183173"/>
          <a:ext cx="6553200"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Type</a:t>
          </a:r>
          <a:r>
            <a:rPr lang="en-US" sz="1800" baseline="0"/>
            <a:t> or use the drop down menu to find the public education agency CTDS number.</a:t>
          </a:r>
        </a:p>
        <a:p>
          <a:endParaRPr lang="en-US" sz="1800" baseline="0"/>
        </a:p>
        <a:p>
          <a:r>
            <a:rPr lang="en-US" sz="1800" baseline="0"/>
            <a:t>The sheet will autopopulate the values for award amounts, UEI, and indirect cost rates.</a:t>
          </a:r>
        </a:p>
        <a:p>
          <a:endParaRPr lang="en-US" sz="1800" baseline="0"/>
        </a:p>
        <a:p>
          <a:r>
            <a:rPr lang="en-US" sz="1800" baseline="0"/>
            <a:t>Print the report or save as PDF.</a:t>
          </a:r>
        </a:p>
        <a:p>
          <a:endParaRPr lang="en-US" sz="1800" baseline="0"/>
        </a:p>
        <a:p>
          <a:r>
            <a:rPr lang="en-US" sz="1800" baseline="0"/>
            <a:t>For questions, please contact essprogmgmt@azed.gov </a:t>
          </a:r>
          <a:endParaRPr 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471854</xdr:colOff>
      <xdr:row>14</xdr:row>
      <xdr:rowOff>85725</xdr:rowOff>
    </xdr:to>
    <xdr:sp macro="" textlink="">
      <xdr:nvSpPr>
        <xdr:cNvPr id="2" name="TextBox 1">
          <a:extLst>
            <a:ext uri="{FF2B5EF4-FFF2-40B4-BE49-F238E27FC236}">
              <a16:creationId xmlns:a16="http://schemas.microsoft.com/office/drawing/2014/main" id="{1E826D18-D032-4CB6-BF52-83799C7123DB}"/>
            </a:ext>
          </a:extLst>
        </xdr:cNvPr>
        <xdr:cNvSpPr txBox="1"/>
      </xdr:nvSpPr>
      <xdr:spPr>
        <a:xfrm>
          <a:off x="8352692" y="0"/>
          <a:ext cx="6553200"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Type</a:t>
          </a:r>
          <a:r>
            <a:rPr lang="en-US" sz="1800" baseline="0"/>
            <a:t> or use the drop down menu to find the public education agency CTDS number.</a:t>
          </a:r>
        </a:p>
        <a:p>
          <a:endParaRPr lang="en-US" sz="1800" baseline="0"/>
        </a:p>
        <a:p>
          <a:r>
            <a:rPr lang="en-US" sz="1800" baseline="0"/>
            <a:t>The sheet will autopopulate the values for award amounts, UEI, and indirect cost rates.</a:t>
          </a:r>
        </a:p>
        <a:p>
          <a:endParaRPr lang="en-US" sz="1800" baseline="0"/>
        </a:p>
        <a:p>
          <a:r>
            <a:rPr lang="en-US" sz="1800" baseline="0"/>
            <a:t>Print the report or save as PDF.</a:t>
          </a:r>
        </a:p>
        <a:p>
          <a:endParaRPr lang="en-US" sz="1800" baseline="0"/>
        </a:p>
        <a:p>
          <a:r>
            <a:rPr lang="en-US" sz="1800" baseline="0"/>
            <a:t>For questions, please contact essprogmgmt@azed.gov </a:t>
          </a:r>
          <a:endParaRPr lang="en-US" sz="18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DDA5D2-84C8-4F8F-9A3B-5C7AB3FE6320}" name="Table1" displayName="Table1" ref="A1:A448" totalsRowShown="0">
  <autoFilter ref="A1:A448" xr:uid="{58DDA5D2-84C8-4F8F-9A3B-5C7AB3FE6320}"/>
  <tableColumns count="1">
    <tableColumn id="1" xr3:uid="{DACDD61D-6467-49C7-8F2F-606EC05416F9}"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96B361-FC7D-418B-87D4-2B93E403758D}" name="Table2" displayName="Table2" ref="A1:A379" totalsRowShown="0">
  <autoFilter ref="A1:A379" xr:uid="{7196B361-FC7D-418B-87D4-2B93E403758D}"/>
  <sortState xmlns:xlrd2="http://schemas.microsoft.com/office/spreadsheetml/2017/richdata2" ref="A2:A379">
    <sortCondition ref="A1:A379"/>
  </sortState>
  <tableColumns count="1">
    <tableColumn id="1" xr3:uid="{4308F4A6-641E-410C-8D03-7FF7FE996BD4}" name="CTD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essinbox@azed.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essinbox@azed.gov"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9A013-8505-49F2-A848-3BDDBC63BA82}">
  <dimension ref="A1"/>
  <sheetViews>
    <sheetView tabSelected="1" workbookViewId="0">
      <selection activeCell="R20" sqref="R20"/>
    </sheetView>
  </sheetViews>
  <sheetFormatPr defaultRowHeight="14.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97"/>
  <sheetViews>
    <sheetView showGridLines="0" topLeftCell="A2" workbookViewId="0"/>
  </sheetViews>
  <sheetFormatPr defaultColWidth="8.85546875" defaultRowHeight="14.45"/>
  <cols>
    <col min="1" max="2" width="13.7109375" style="38" customWidth="1"/>
    <col min="3" max="3" width="41.140625" style="38" customWidth="1"/>
    <col min="4" max="6" width="20.5703125" style="38" customWidth="1"/>
    <col min="7" max="7" width="13.7109375" style="38" customWidth="1"/>
    <col min="8" max="8" width="20.5703125" style="38" customWidth="1"/>
    <col min="9" max="9" width="41.140625" style="38" customWidth="1"/>
    <col min="10" max="10" width="27.42578125" style="38" customWidth="1"/>
    <col min="11" max="11" width="20.5703125" style="38" customWidth="1"/>
    <col min="12" max="13" width="13.7109375" style="38" customWidth="1"/>
    <col min="14" max="14" width="34.28515625" style="38" customWidth="1"/>
    <col min="15" max="15" width="15.5703125" style="38" customWidth="1"/>
    <col min="16" max="17" width="13.7109375" style="38" customWidth="1"/>
    <col min="18" max="18" width="11.85546875" style="38" customWidth="1"/>
    <col min="19" max="19" width="1.85546875" style="38" customWidth="1"/>
    <col min="20" max="20" width="13.7109375" style="38" customWidth="1"/>
    <col min="21" max="16384" width="8.85546875" style="38"/>
  </cols>
  <sheetData>
    <row r="1" spans="1:20" ht="28.9" customHeight="1">
      <c r="A1" s="37" t="s">
        <v>1437</v>
      </c>
    </row>
    <row r="2" spans="1:20" ht="18" customHeight="1">
      <c r="A2" s="39" t="s">
        <v>1438</v>
      </c>
    </row>
    <row r="3" spans="1:20" ht="18" customHeight="1">
      <c r="A3" s="39" t="s">
        <v>1439</v>
      </c>
    </row>
    <row r="4" spans="1:20" ht="52.9">
      <c r="A4" s="40" t="s">
        <v>1440</v>
      </c>
      <c r="B4" s="40" t="s">
        <v>1441</v>
      </c>
      <c r="C4" s="41" t="s">
        <v>1442</v>
      </c>
      <c r="D4" s="40" t="s">
        <v>1403</v>
      </c>
      <c r="E4" s="40" t="s">
        <v>1405</v>
      </c>
      <c r="F4" s="40" t="s">
        <v>1443</v>
      </c>
      <c r="G4" s="40" t="s">
        <v>1444</v>
      </c>
      <c r="H4" s="40" t="s">
        <v>1445</v>
      </c>
      <c r="I4" s="42" t="s">
        <v>1446</v>
      </c>
      <c r="J4" s="42" t="s">
        <v>1447</v>
      </c>
      <c r="K4" s="42" t="s">
        <v>1448</v>
      </c>
      <c r="L4" s="42" t="s">
        <v>1449</v>
      </c>
      <c r="M4" s="42" t="s">
        <v>1450</v>
      </c>
      <c r="N4" s="42" t="s">
        <v>1451</v>
      </c>
      <c r="O4" s="40" t="s">
        <v>1452</v>
      </c>
      <c r="P4" s="40" t="s">
        <v>1453</v>
      </c>
      <c r="Q4" s="40" t="s">
        <v>1454</v>
      </c>
      <c r="R4" s="40" t="s">
        <v>1455</v>
      </c>
      <c r="S4" s="43"/>
      <c r="T4" s="40" t="s">
        <v>1456</v>
      </c>
    </row>
    <row r="5" spans="1:20">
      <c r="A5" s="44" t="s">
        <v>1457</v>
      </c>
      <c r="B5" s="44" t="s">
        <v>1458</v>
      </c>
      <c r="C5" s="45" t="s">
        <v>1459</v>
      </c>
      <c r="D5" s="44" t="s">
        <v>1419</v>
      </c>
      <c r="E5" s="44" t="s">
        <v>1460</v>
      </c>
      <c r="F5" s="44"/>
      <c r="G5" s="44" t="s">
        <v>1461</v>
      </c>
      <c r="H5" s="44"/>
      <c r="I5" s="46" t="s">
        <v>1459</v>
      </c>
      <c r="J5" s="46"/>
      <c r="K5" s="46"/>
      <c r="L5" s="46"/>
      <c r="M5" s="46"/>
      <c r="N5" s="46"/>
      <c r="O5" s="44" t="s">
        <v>1462</v>
      </c>
      <c r="P5" s="44"/>
      <c r="Q5" s="44" t="s">
        <v>1463</v>
      </c>
      <c r="R5" s="44" t="s">
        <v>1463</v>
      </c>
      <c r="S5" s="43"/>
      <c r="T5" s="44"/>
    </row>
    <row r="6" spans="1:20" ht="26.45">
      <c r="A6" s="47" t="s">
        <v>1464</v>
      </c>
      <c r="B6" s="47"/>
      <c r="C6" s="48" t="s">
        <v>1465</v>
      </c>
      <c r="D6" s="47" t="s">
        <v>1424</v>
      </c>
      <c r="E6" s="47" t="s">
        <v>1460</v>
      </c>
      <c r="F6" s="49">
        <v>41457.382441238398</v>
      </c>
      <c r="G6" s="47" t="s">
        <v>1466</v>
      </c>
      <c r="H6" s="47"/>
      <c r="I6" s="50"/>
      <c r="J6" s="50"/>
      <c r="K6" s="50"/>
      <c r="L6" s="50"/>
      <c r="M6" s="50"/>
      <c r="N6" s="50"/>
      <c r="O6" s="47"/>
      <c r="P6" s="47"/>
      <c r="Q6" s="47" t="s">
        <v>1463</v>
      </c>
      <c r="R6" s="47" t="s">
        <v>1463</v>
      </c>
      <c r="S6" s="43"/>
      <c r="T6" s="47"/>
    </row>
    <row r="7" spans="1:20">
      <c r="A7" s="44" t="s">
        <v>1467</v>
      </c>
      <c r="B7" s="44" t="s">
        <v>1468</v>
      </c>
      <c r="C7" s="45" t="s">
        <v>1469</v>
      </c>
      <c r="D7" s="44" t="s">
        <v>1420</v>
      </c>
      <c r="E7" s="44" t="s">
        <v>1460</v>
      </c>
      <c r="F7" s="51">
        <v>43886.777037384301</v>
      </c>
      <c r="G7" s="44" t="s">
        <v>1466</v>
      </c>
      <c r="H7" s="44" t="s">
        <v>1470</v>
      </c>
      <c r="I7" s="46" t="s">
        <v>1471</v>
      </c>
      <c r="J7" s="46" t="s">
        <v>1472</v>
      </c>
      <c r="K7" s="46" t="s">
        <v>1473</v>
      </c>
      <c r="L7" s="46" t="s">
        <v>1474</v>
      </c>
      <c r="M7" s="46" t="s">
        <v>1475</v>
      </c>
      <c r="N7" s="46" t="s">
        <v>1476</v>
      </c>
      <c r="O7" s="44" t="s">
        <v>1477</v>
      </c>
      <c r="P7" s="44"/>
      <c r="Q7" s="44" t="s">
        <v>1463</v>
      </c>
      <c r="R7" s="44" t="s">
        <v>1463</v>
      </c>
      <c r="S7" s="43"/>
      <c r="T7" s="51">
        <v>44243</v>
      </c>
    </row>
    <row r="8" spans="1:20">
      <c r="A8" s="47" t="s">
        <v>1478</v>
      </c>
      <c r="B8" s="47" t="s">
        <v>1479</v>
      </c>
      <c r="C8" s="48" t="s">
        <v>1480</v>
      </c>
      <c r="D8" s="47" t="s">
        <v>1414</v>
      </c>
      <c r="E8" s="47" t="s">
        <v>1481</v>
      </c>
      <c r="F8" s="47"/>
      <c r="G8" s="47" t="s">
        <v>1466</v>
      </c>
      <c r="H8" s="47" t="s">
        <v>1482</v>
      </c>
      <c r="I8" s="50" t="s">
        <v>1480</v>
      </c>
      <c r="J8" s="50" t="s">
        <v>1483</v>
      </c>
      <c r="K8" s="50" t="s">
        <v>1484</v>
      </c>
      <c r="L8" s="50" t="s">
        <v>1474</v>
      </c>
      <c r="M8" s="50" t="s">
        <v>1485</v>
      </c>
      <c r="N8" s="50"/>
      <c r="O8" s="47" t="s">
        <v>1486</v>
      </c>
      <c r="P8" s="47"/>
      <c r="Q8" s="47" t="s">
        <v>1463</v>
      </c>
      <c r="R8" s="47" t="s">
        <v>1463</v>
      </c>
      <c r="S8" s="43"/>
      <c r="T8" s="47"/>
    </row>
    <row r="9" spans="1:20" ht="26.45">
      <c r="A9" s="44" t="s">
        <v>1487</v>
      </c>
      <c r="B9" s="44" t="s">
        <v>1488</v>
      </c>
      <c r="C9" s="45" t="s">
        <v>1489</v>
      </c>
      <c r="D9" s="44" t="s">
        <v>1419</v>
      </c>
      <c r="E9" s="44" t="s">
        <v>1481</v>
      </c>
      <c r="F9" s="44"/>
      <c r="G9" s="44" t="s">
        <v>1490</v>
      </c>
      <c r="H9" s="44" t="s">
        <v>1491</v>
      </c>
      <c r="I9" s="46" t="s">
        <v>1489</v>
      </c>
      <c r="J9" s="46" t="s">
        <v>1492</v>
      </c>
      <c r="K9" s="46" t="s">
        <v>1493</v>
      </c>
      <c r="L9" s="46" t="s">
        <v>1474</v>
      </c>
      <c r="M9" s="46" t="s">
        <v>1494</v>
      </c>
      <c r="N9" s="46" t="s">
        <v>1495</v>
      </c>
      <c r="O9" s="44"/>
      <c r="P9" s="44" t="s">
        <v>1496</v>
      </c>
      <c r="Q9" s="44" t="s">
        <v>1463</v>
      </c>
      <c r="R9" s="44" t="s">
        <v>1463</v>
      </c>
      <c r="S9" s="43"/>
      <c r="T9" s="51">
        <v>45299</v>
      </c>
    </row>
    <row r="10" spans="1:20" ht="26.45">
      <c r="A10" s="47" t="s">
        <v>1497</v>
      </c>
      <c r="B10" s="47" t="s">
        <v>1498</v>
      </c>
      <c r="C10" s="48" t="s">
        <v>1499</v>
      </c>
      <c r="D10" s="47" t="s">
        <v>1419</v>
      </c>
      <c r="E10" s="47" t="s">
        <v>1481</v>
      </c>
      <c r="F10" s="47"/>
      <c r="G10" s="47" t="s">
        <v>1490</v>
      </c>
      <c r="H10" s="47" t="s">
        <v>1500</v>
      </c>
      <c r="I10" s="50" t="s">
        <v>1501</v>
      </c>
      <c r="J10" s="50" t="s">
        <v>1502</v>
      </c>
      <c r="K10" s="50" t="s">
        <v>1503</v>
      </c>
      <c r="L10" s="50" t="s">
        <v>1504</v>
      </c>
      <c r="M10" s="50" t="s">
        <v>1505</v>
      </c>
      <c r="N10" s="50" t="s">
        <v>1476</v>
      </c>
      <c r="O10" s="47" t="s">
        <v>1506</v>
      </c>
      <c r="P10" s="47" t="s">
        <v>1507</v>
      </c>
      <c r="Q10" s="47" t="s">
        <v>1463</v>
      </c>
      <c r="R10" s="47" t="s">
        <v>1463</v>
      </c>
      <c r="S10" s="43"/>
      <c r="T10" s="49">
        <v>45391</v>
      </c>
    </row>
    <row r="11" spans="1:20" ht="39.6">
      <c r="A11" s="44" t="s">
        <v>1508</v>
      </c>
      <c r="B11" s="44" t="s">
        <v>1509</v>
      </c>
      <c r="C11" s="45" t="s">
        <v>1510</v>
      </c>
      <c r="D11" s="44" t="s">
        <v>1419</v>
      </c>
      <c r="E11" s="44" t="s">
        <v>1481</v>
      </c>
      <c r="F11" s="44"/>
      <c r="G11" s="44" t="s">
        <v>1511</v>
      </c>
      <c r="H11" s="44" t="s">
        <v>1512</v>
      </c>
      <c r="I11" s="46" t="s">
        <v>1513</v>
      </c>
      <c r="J11" s="46" t="s">
        <v>1514</v>
      </c>
      <c r="K11" s="46" t="s">
        <v>1503</v>
      </c>
      <c r="L11" s="46" t="s">
        <v>1474</v>
      </c>
      <c r="M11" s="46" t="s">
        <v>1515</v>
      </c>
      <c r="N11" s="46" t="s">
        <v>1516</v>
      </c>
      <c r="O11" s="44" t="s">
        <v>1517</v>
      </c>
      <c r="P11" s="44"/>
      <c r="Q11" s="44" t="s">
        <v>1463</v>
      </c>
      <c r="R11" s="44" t="s">
        <v>1463</v>
      </c>
      <c r="S11" s="43"/>
      <c r="T11" s="51">
        <v>44481</v>
      </c>
    </row>
    <row r="12" spans="1:20" ht="26.45">
      <c r="A12" s="47" t="s">
        <v>1518</v>
      </c>
      <c r="B12" s="47" t="s">
        <v>1519</v>
      </c>
      <c r="C12" s="48" t="s">
        <v>1520</v>
      </c>
      <c r="D12" s="47" t="s">
        <v>1419</v>
      </c>
      <c r="E12" s="47" t="s">
        <v>1481</v>
      </c>
      <c r="F12" s="47"/>
      <c r="G12" s="47" t="s">
        <v>1490</v>
      </c>
      <c r="H12" s="47" t="s">
        <v>1521</v>
      </c>
      <c r="I12" s="50" t="s">
        <v>1520</v>
      </c>
      <c r="J12" s="50" t="s">
        <v>1522</v>
      </c>
      <c r="K12" s="50" t="s">
        <v>1523</v>
      </c>
      <c r="L12" s="50" t="s">
        <v>1504</v>
      </c>
      <c r="M12" s="50" t="s">
        <v>1524</v>
      </c>
      <c r="N12" s="50" t="s">
        <v>1525</v>
      </c>
      <c r="O12" s="47" t="s">
        <v>1526</v>
      </c>
      <c r="P12" s="47"/>
      <c r="Q12" s="47" t="s">
        <v>1463</v>
      </c>
      <c r="R12" s="47" t="s">
        <v>1463</v>
      </c>
      <c r="S12" s="43"/>
      <c r="T12" s="49">
        <v>44691</v>
      </c>
    </row>
    <row r="13" spans="1:20" ht="26.45">
      <c r="A13" s="44" t="s">
        <v>526</v>
      </c>
      <c r="B13" s="44" t="s">
        <v>1527</v>
      </c>
      <c r="C13" s="45" t="s">
        <v>527</v>
      </c>
      <c r="D13" s="44" t="s">
        <v>1410</v>
      </c>
      <c r="E13" s="44" t="s">
        <v>1481</v>
      </c>
      <c r="F13" s="44"/>
      <c r="G13" s="44" t="s">
        <v>1466</v>
      </c>
      <c r="H13" s="44" t="s">
        <v>1528</v>
      </c>
      <c r="I13" s="46" t="s">
        <v>527</v>
      </c>
      <c r="J13" s="46" t="s">
        <v>1529</v>
      </c>
      <c r="K13" s="46" t="s">
        <v>1419</v>
      </c>
      <c r="L13" s="46" t="s">
        <v>1474</v>
      </c>
      <c r="M13" s="46" t="s">
        <v>1530</v>
      </c>
      <c r="N13" s="46" t="s">
        <v>1531</v>
      </c>
      <c r="O13" s="44" t="s">
        <v>1532</v>
      </c>
      <c r="P13" s="44" t="s">
        <v>1533</v>
      </c>
      <c r="Q13" s="44" t="s">
        <v>1463</v>
      </c>
      <c r="R13" s="44" t="s">
        <v>1463</v>
      </c>
      <c r="S13" s="43"/>
      <c r="T13" s="51">
        <v>45428</v>
      </c>
    </row>
    <row r="14" spans="1:20">
      <c r="A14" s="47" t="s">
        <v>1534</v>
      </c>
      <c r="B14" s="47"/>
      <c r="C14" s="48" t="s">
        <v>1535</v>
      </c>
      <c r="D14" s="47" t="s">
        <v>1419</v>
      </c>
      <c r="E14" s="47" t="s">
        <v>1460</v>
      </c>
      <c r="F14" s="49">
        <v>42452.6626888889</v>
      </c>
      <c r="G14" s="47" t="s">
        <v>1466</v>
      </c>
      <c r="H14" s="47"/>
      <c r="I14" s="50"/>
      <c r="J14" s="50"/>
      <c r="K14" s="50"/>
      <c r="L14" s="50"/>
      <c r="M14" s="50"/>
      <c r="N14" s="50"/>
      <c r="O14" s="47"/>
      <c r="P14" s="47"/>
      <c r="Q14" s="47" t="s">
        <v>1463</v>
      </c>
      <c r="R14" s="47" t="s">
        <v>1463</v>
      </c>
      <c r="S14" s="43"/>
      <c r="T14" s="47"/>
    </row>
    <row r="15" spans="1:20" ht="26.45">
      <c r="A15" s="44" t="s">
        <v>1536</v>
      </c>
      <c r="B15" s="44" t="s">
        <v>1537</v>
      </c>
      <c r="C15" s="45" t="s">
        <v>1538</v>
      </c>
      <c r="D15" s="44" t="s">
        <v>1419</v>
      </c>
      <c r="E15" s="44" t="s">
        <v>1481</v>
      </c>
      <c r="F15" s="44"/>
      <c r="G15" s="44" t="s">
        <v>1490</v>
      </c>
      <c r="H15" s="44" t="s">
        <v>1539</v>
      </c>
      <c r="I15" s="46" t="s">
        <v>1538</v>
      </c>
      <c r="J15" s="46" t="s">
        <v>1540</v>
      </c>
      <c r="K15" s="46" t="s">
        <v>1541</v>
      </c>
      <c r="L15" s="46" t="s">
        <v>1504</v>
      </c>
      <c r="M15" s="46" t="s">
        <v>1542</v>
      </c>
      <c r="N15" s="46" t="s">
        <v>1476</v>
      </c>
      <c r="O15" s="44"/>
      <c r="P15" s="44"/>
      <c r="Q15" s="44" t="s">
        <v>1463</v>
      </c>
      <c r="R15" s="44" t="s">
        <v>1463</v>
      </c>
      <c r="S15" s="43"/>
      <c r="T15" s="44"/>
    </row>
    <row r="16" spans="1:20" ht="26.45">
      <c r="A16" s="47" t="s">
        <v>1543</v>
      </c>
      <c r="B16" s="47" t="s">
        <v>1544</v>
      </c>
      <c r="C16" s="48" t="s">
        <v>1545</v>
      </c>
      <c r="D16" s="47" t="s">
        <v>1419</v>
      </c>
      <c r="E16" s="47" t="s">
        <v>1460</v>
      </c>
      <c r="F16" s="49">
        <v>43574.626183136599</v>
      </c>
      <c r="G16" s="47" t="s">
        <v>1466</v>
      </c>
      <c r="H16" s="47" t="s">
        <v>1546</v>
      </c>
      <c r="I16" s="50" t="s">
        <v>1547</v>
      </c>
      <c r="J16" s="50" t="s">
        <v>1548</v>
      </c>
      <c r="K16" s="50" t="s">
        <v>1549</v>
      </c>
      <c r="L16" s="50" t="s">
        <v>1504</v>
      </c>
      <c r="M16" s="50" t="s">
        <v>1550</v>
      </c>
      <c r="N16" s="50" t="s">
        <v>1525</v>
      </c>
      <c r="O16" s="47" t="s">
        <v>1551</v>
      </c>
      <c r="P16" s="47"/>
      <c r="Q16" s="47" t="s">
        <v>1463</v>
      </c>
      <c r="R16" s="47" t="s">
        <v>1463</v>
      </c>
      <c r="S16" s="43"/>
      <c r="T16" s="49">
        <v>43837</v>
      </c>
    </row>
    <row r="17" spans="1:20">
      <c r="A17" s="44" t="s">
        <v>1552</v>
      </c>
      <c r="B17" s="44"/>
      <c r="C17" s="45" t="s">
        <v>1553</v>
      </c>
      <c r="D17" s="44" t="s">
        <v>1414</v>
      </c>
      <c r="E17" s="44" t="s">
        <v>1460</v>
      </c>
      <c r="F17" s="51">
        <v>41457.382443483802</v>
      </c>
      <c r="G17" s="44" t="s">
        <v>1466</v>
      </c>
      <c r="H17" s="44"/>
      <c r="I17" s="46"/>
      <c r="J17" s="46"/>
      <c r="K17" s="46"/>
      <c r="L17" s="46"/>
      <c r="M17" s="46"/>
      <c r="N17" s="46"/>
      <c r="O17" s="44"/>
      <c r="P17" s="44"/>
      <c r="Q17" s="44" t="s">
        <v>1463</v>
      </c>
      <c r="R17" s="44" t="s">
        <v>1463</v>
      </c>
      <c r="S17" s="43"/>
      <c r="T17" s="44"/>
    </row>
    <row r="18" spans="1:20">
      <c r="A18" s="47" t="s">
        <v>1554</v>
      </c>
      <c r="B18" s="47"/>
      <c r="C18" s="48" t="s">
        <v>1555</v>
      </c>
      <c r="D18" s="47" t="s">
        <v>1414</v>
      </c>
      <c r="E18" s="47" t="s">
        <v>1460</v>
      </c>
      <c r="F18" s="49">
        <v>41457.382442557901</v>
      </c>
      <c r="G18" s="47" t="s">
        <v>1466</v>
      </c>
      <c r="H18" s="47"/>
      <c r="I18" s="50"/>
      <c r="J18" s="50"/>
      <c r="K18" s="50"/>
      <c r="L18" s="50"/>
      <c r="M18" s="50"/>
      <c r="N18" s="50"/>
      <c r="O18" s="47"/>
      <c r="P18" s="47"/>
      <c r="Q18" s="47" t="s">
        <v>1463</v>
      </c>
      <c r="R18" s="47" t="s">
        <v>1463</v>
      </c>
      <c r="S18" s="43"/>
      <c r="T18" s="47"/>
    </row>
    <row r="19" spans="1:20" ht="26.45">
      <c r="A19" s="44" t="s">
        <v>49</v>
      </c>
      <c r="B19" s="44" t="s">
        <v>1556</v>
      </c>
      <c r="C19" s="45" t="s">
        <v>532</v>
      </c>
      <c r="D19" s="44" t="s">
        <v>1414</v>
      </c>
      <c r="E19" s="44" t="s">
        <v>1481</v>
      </c>
      <c r="F19" s="44"/>
      <c r="G19" s="44" t="s">
        <v>1466</v>
      </c>
      <c r="H19" s="44" t="s">
        <v>1557</v>
      </c>
      <c r="I19" s="46" t="s">
        <v>1558</v>
      </c>
      <c r="J19" s="46" t="s">
        <v>1559</v>
      </c>
      <c r="K19" s="46" t="s">
        <v>1484</v>
      </c>
      <c r="L19" s="46" t="s">
        <v>1504</v>
      </c>
      <c r="M19" s="46" t="s">
        <v>1560</v>
      </c>
      <c r="N19" s="46" t="s">
        <v>1495</v>
      </c>
      <c r="O19" s="44" t="s">
        <v>1561</v>
      </c>
      <c r="P19" s="44" t="s">
        <v>1562</v>
      </c>
      <c r="Q19" s="44" t="s">
        <v>1463</v>
      </c>
      <c r="R19" s="44" t="s">
        <v>1463</v>
      </c>
      <c r="S19" s="43"/>
      <c r="T19" s="51">
        <v>45698</v>
      </c>
    </row>
    <row r="20" spans="1:20">
      <c r="A20" s="47" t="s">
        <v>1563</v>
      </c>
      <c r="B20" s="47"/>
      <c r="C20" s="48" t="s">
        <v>1564</v>
      </c>
      <c r="D20" s="47" t="s">
        <v>1419</v>
      </c>
      <c r="E20" s="47" t="s">
        <v>1460</v>
      </c>
      <c r="F20" s="49">
        <v>41921.736891817098</v>
      </c>
      <c r="G20" s="47" t="s">
        <v>1466</v>
      </c>
      <c r="H20" s="47"/>
      <c r="I20" s="50"/>
      <c r="J20" s="50"/>
      <c r="K20" s="50"/>
      <c r="L20" s="50"/>
      <c r="M20" s="50"/>
      <c r="N20" s="50"/>
      <c r="O20" s="47"/>
      <c r="P20" s="47"/>
      <c r="Q20" s="47" t="s">
        <v>1463</v>
      </c>
      <c r="R20" s="47" t="s">
        <v>1463</v>
      </c>
      <c r="S20" s="43"/>
      <c r="T20" s="47"/>
    </row>
    <row r="21" spans="1:20" ht="26.45">
      <c r="A21" s="44" t="s">
        <v>533</v>
      </c>
      <c r="B21" s="44" t="s">
        <v>1565</v>
      </c>
      <c r="C21" s="45" t="s">
        <v>534</v>
      </c>
      <c r="D21" s="44" t="s">
        <v>1416</v>
      </c>
      <c r="E21" s="44" t="s">
        <v>1481</v>
      </c>
      <c r="F21" s="44"/>
      <c r="G21" s="44" t="s">
        <v>1466</v>
      </c>
      <c r="H21" s="44" t="s">
        <v>1566</v>
      </c>
      <c r="I21" s="46" t="s">
        <v>1567</v>
      </c>
      <c r="J21" s="46" t="s">
        <v>1568</v>
      </c>
      <c r="K21" s="46" t="s">
        <v>1569</v>
      </c>
      <c r="L21" s="46" t="s">
        <v>1474</v>
      </c>
      <c r="M21" s="46" t="s">
        <v>1570</v>
      </c>
      <c r="N21" s="46" t="s">
        <v>1516</v>
      </c>
      <c r="O21" s="44" t="s">
        <v>1571</v>
      </c>
      <c r="P21" s="44" t="s">
        <v>1572</v>
      </c>
      <c r="Q21" s="44" t="s">
        <v>1463</v>
      </c>
      <c r="R21" s="44" t="s">
        <v>1463</v>
      </c>
      <c r="S21" s="43"/>
      <c r="T21" s="51">
        <v>45664</v>
      </c>
    </row>
    <row r="22" spans="1:20">
      <c r="A22" s="47" t="s">
        <v>1573</v>
      </c>
      <c r="B22" s="47" t="s">
        <v>1574</v>
      </c>
      <c r="C22" s="48" t="s">
        <v>1575</v>
      </c>
      <c r="D22" s="47" t="s">
        <v>1419</v>
      </c>
      <c r="E22" s="47" t="s">
        <v>1460</v>
      </c>
      <c r="F22" s="49">
        <v>43143.749144710702</v>
      </c>
      <c r="G22" s="47" t="s">
        <v>1466</v>
      </c>
      <c r="H22" s="47" t="s">
        <v>1576</v>
      </c>
      <c r="I22" s="50" t="s">
        <v>1575</v>
      </c>
      <c r="J22" s="50" t="s">
        <v>1577</v>
      </c>
      <c r="K22" s="50" t="s">
        <v>1523</v>
      </c>
      <c r="L22" s="50" t="s">
        <v>1504</v>
      </c>
      <c r="M22" s="50" t="s">
        <v>1578</v>
      </c>
      <c r="N22" s="50" t="s">
        <v>1495</v>
      </c>
      <c r="O22" s="47" t="s">
        <v>1579</v>
      </c>
      <c r="P22" s="47"/>
      <c r="Q22" s="47" t="s">
        <v>1463</v>
      </c>
      <c r="R22" s="47" t="s">
        <v>1463</v>
      </c>
      <c r="S22" s="43"/>
      <c r="T22" s="49">
        <v>43503</v>
      </c>
    </row>
    <row r="23" spans="1:20">
      <c r="A23" s="44" t="s">
        <v>1580</v>
      </c>
      <c r="B23" s="44"/>
      <c r="C23" s="45" t="s">
        <v>1581</v>
      </c>
      <c r="D23" s="44" t="s">
        <v>1420</v>
      </c>
      <c r="E23" s="44" t="s">
        <v>1460</v>
      </c>
      <c r="F23" s="51">
        <v>41474.645854861097</v>
      </c>
      <c r="G23" s="44" t="s">
        <v>1466</v>
      </c>
      <c r="H23" s="44"/>
      <c r="I23" s="46"/>
      <c r="J23" s="46"/>
      <c r="K23" s="46"/>
      <c r="L23" s="46"/>
      <c r="M23" s="46"/>
      <c r="N23" s="46"/>
      <c r="O23" s="44"/>
      <c r="P23" s="44"/>
      <c r="Q23" s="44" t="s">
        <v>1463</v>
      </c>
      <c r="R23" s="44" t="s">
        <v>1463</v>
      </c>
      <c r="S23" s="43"/>
      <c r="T23" s="44"/>
    </row>
    <row r="24" spans="1:20" ht="26.45">
      <c r="A24" s="47" t="s">
        <v>1582</v>
      </c>
      <c r="B24" s="47" t="s">
        <v>1583</v>
      </c>
      <c r="C24" s="48" t="s">
        <v>1584</v>
      </c>
      <c r="D24" s="47" t="s">
        <v>1414</v>
      </c>
      <c r="E24" s="47" t="s">
        <v>1460</v>
      </c>
      <c r="F24" s="49">
        <v>42440.893387962999</v>
      </c>
      <c r="G24" s="47" t="s">
        <v>1585</v>
      </c>
      <c r="H24" s="47"/>
      <c r="I24" s="50"/>
      <c r="J24" s="50"/>
      <c r="K24" s="50"/>
      <c r="L24" s="50"/>
      <c r="M24" s="50"/>
      <c r="N24" s="50"/>
      <c r="O24" s="47"/>
      <c r="P24" s="47"/>
      <c r="Q24" s="47" t="s">
        <v>1463</v>
      </c>
      <c r="R24" s="47" t="s">
        <v>1463</v>
      </c>
      <c r="S24" s="43"/>
      <c r="T24" s="47"/>
    </row>
    <row r="25" spans="1:20" ht="26.45">
      <c r="A25" s="44" t="s">
        <v>50</v>
      </c>
      <c r="B25" s="44" t="s">
        <v>1586</v>
      </c>
      <c r="C25" s="45" t="s">
        <v>535</v>
      </c>
      <c r="D25" s="44" t="s">
        <v>1414</v>
      </c>
      <c r="E25" s="44" t="s">
        <v>1481</v>
      </c>
      <c r="F25" s="44"/>
      <c r="G25" s="44" t="s">
        <v>1466</v>
      </c>
      <c r="H25" s="44" t="s">
        <v>1587</v>
      </c>
      <c r="I25" s="46" t="s">
        <v>1588</v>
      </c>
      <c r="J25" s="46" t="s">
        <v>1589</v>
      </c>
      <c r="K25" s="46" t="s">
        <v>1493</v>
      </c>
      <c r="L25" s="46" t="s">
        <v>1504</v>
      </c>
      <c r="M25" s="46" t="s">
        <v>1590</v>
      </c>
      <c r="N25" s="46" t="s">
        <v>1495</v>
      </c>
      <c r="O25" s="44" t="s">
        <v>1591</v>
      </c>
      <c r="P25" s="44" t="s">
        <v>1592</v>
      </c>
      <c r="Q25" s="44" t="s">
        <v>1463</v>
      </c>
      <c r="R25" s="44" t="s">
        <v>1463</v>
      </c>
      <c r="S25" s="43"/>
      <c r="T25" s="51">
        <v>45644</v>
      </c>
    </row>
    <row r="26" spans="1:20" ht="26.45">
      <c r="A26" s="47" t="s">
        <v>51</v>
      </c>
      <c r="B26" s="47" t="s">
        <v>1593</v>
      </c>
      <c r="C26" s="48" t="s">
        <v>536</v>
      </c>
      <c r="D26" s="47" t="s">
        <v>1414</v>
      </c>
      <c r="E26" s="47" t="s">
        <v>1481</v>
      </c>
      <c r="F26" s="47"/>
      <c r="G26" s="47" t="s">
        <v>1466</v>
      </c>
      <c r="H26" s="47" t="s">
        <v>1594</v>
      </c>
      <c r="I26" s="50" t="s">
        <v>1595</v>
      </c>
      <c r="J26" s="50" t="s">
        <v>1596</v>
      </c>
      <c r="K26" s="50" t="s">
        <v>1484</v>
      </c>
      <c r="L26" s="50" t="s">
        <v>1474</v>
      </c>
      <c r="M26" s="50" t="s">
        <v>1597</v>
      </c>
      <c r="N26" s="50" t="s">
        <v>1531</v>
      </c>
      <c r="O26" s="47" t="s">
        <v>1598</v>
      </c>
      <c r="P26" s="47" t="s">
        <v>1599</v>
      </c>
      <c r="Q26" s="47" t="s">
        <v>1463</v>
      </c>
      <c r="R26" s="47" t="s">
        <v>1463</v>
      </c>
      <c r="S26" s="43"/>
      <c r="T26" s="49">
        <v>45644</v>
      </c>
    </row>
    <row r="27" spans="1:20" ht="26.45">
      <c r="A27" s="44" t="s">
        <v>52</v>
      </c>
      <c r="B27" s="44" t="s">
        <v>1600</v>
      </c>
      <c r="C27" s="45" t="s">
        <v>536</v>
      </c>
      <c r="D27" s="44" t="s">
        <v>1414</v>
      </c>
      <c r="E27" s="44" t="s">
        <v>1481</v>
      </c>
      <c r="F27" s="44"/>
      <c r="G27" s="44" t="s">
        <v>1466</v>
      </c>
      <c r="H27" s="44" t="s">
        <v>1601</v>
      </c>
      <c r="I27" s="46" t="s">
        <v>1595</v>
      </c>
      <c r="J27" s="46" t="s">
        <v>1596</v>
      </c>
      <c r="K27" s="46" t="s">
        <v>1484</v>
      </c>
      <c r="L27" s="46" t="s">
        <v>1474</v>
      </c>
      <c r="M27" s="46" t="s">
        <v>1597</v>
      </c>
      <c r="N27" s="46" t="s">
        <v>1531</v>
      </c>
      <c r="O27" s="44" t="s">
        <v>1598</v>
      </c>
      <c r="P27" s="44" t="s">
        <v>1599</v>
      </c>
      <c r="Q27" s="44" t="s">
        <v>1463</v>
      </c>
      <c r="R27" s="44" t="s">
        <v>1463</v>
      </c>
      <c r="S27" s="43"/>
      <c r="T27" s="51">
        <v>45644</v>
      </c>
    </row>
    <row r="28" spans="1:20" ht="26.45">
      <c r="A28" s="47" t="s">
        <v>53</v>
      </c>
      <c r="B28" s="47" t="s">
        <v>1602</v>
      </c>
      <c r="C28" s="48" t="s">
        <v>537</v>
      </c>
      <c r="D28" s="47" t="s">
        <v>1414</v>
      </c>
      <c r="E28" s="47" t="s">
        <v>1481</v>
      </c>
      <c r="F28" s="47"/>
      <c r="G28" s="47" t="s">
        <v>1466</v>
      </c>
      <c r="H28" s="47" t="s">
        <v>1603</v>
      </c>
      <c r="I28" s="50" t="s">
        <v>537</v>
      </c>
      <c r="J28" s="50" t="s">
        <v>1604</v>
      </c>
      <c r="K28" s="50" t="s">
        <v>1484</v>
      </c>
      <c r="L28" s="50" t="s">
        <v>1474</v>
      </c>
      <c r="M28" s="50" t="s">
        <v>1605</v>
      </c>
      <c r="N28" s="50" t="s">
        <v>1525</v>
      </c>
      <c r="O28" s="47" t="s">
        <v>1606</v>
      </c>
      <c r="P28" s="47" t="s">
        <v>1607</v>
      </c>
      <c r="Q28" s="47" t="s">
        <v>1463</v>
      </c>
      <c r="R28" s="47" t="s">
        <v>1463</v>
      </c>
      <c r="S28" s="43"/>
      <c r="T28" s="49">
        <v>45603</v>
      </c>
    </row>
    <row r="29" spans="1:20" ht="26.45">
      <c r="A29" s="44" t="s">
        <v>538</v>
      </c>
      <c r="B29" s="44" t="s">
        <v>1608</v>
      </c>
      <c r="C29" s="45" t="s">
        <v>539</v>
      </c>
      <c r="D29" s="44" t="s">
        <v>1419</v>
      </c>
      <c r="E29" s="44" t="s">
        <v>1481</v>
      </c>
      <c r="F29" s="44"/>
      <c r="G29" s="44" t="s">
        <v>1466</v>
      </c>
      <c r="H29" s="44" t="s">
        <v>1609</v>
      </c>
      <c r="I29" s="46" t="s">
        <v>1610</v>
      </c>
      <c r="J29" s="46" t="s">
        <v>1611</v>
      </c>
      <c r="K29" s="46" t="s">
        <v>1503</v>
      </c>
      <c r="L29" s="46" t="s">
        <v>1504</v>
      </c>
      <c r="M29" s="46" t="s">
        <v>1612</v>
      </c>
      <c r="N29" s="46" t="s">
        <v>1476</v>
      </c>
      <c r="O29" s="44" t="s">
        <v>1613</v>
      </c>
      <c r="P29" s="44" t="s">
        <v>1614</v>
      </c>
      <c r="Q29" s="44" t="s">
        <v>1463</v>
      </c>
      <c r="R29" s="44" t="s">
        <v>1463</v>
      </c>
      <c r="S29" s="43"/>
      <c r="T29" s="51">
        <v>45666</v>
      </c>
    </row>
    <row r="30" spans="1:20">
      <c r="A30" s="47" t="s">
        <v>1615</v>
      </c>
      <c r="B30" s="47" t="s">
        <v>1616</v>
      </c>
      <c r="C30" s="48" t="s">
        <v>1617</v>
      </c>
      <c r="D30" s="47" t="s">
        <v>1419</v>
      </c>
      <c r="E30" s="47" t="s">
        <v>1481</v>
      </c>
      <c r="F30" s="47"/>
      <c r="G30" s="47" t="s">
        <v>1618</v>
      </c>
      <c r="H30" s="47" t="s">
        <v>1619</v>
      </c>
      <c r="I30" s="50" t="s">
        <v>1617</v>
      </c>
      <c r="J30" s="50" t="s">
        <v>1620</v>
      </c>
      <c r="K30" s="50" t="s">
        <v>1493</v>
      </c>
      <c r="L30" s="50" t="s">
        <v>1504</v>
      </c>
      <c r="M30" s="50" t="s">
        <v>1621</v>
      </c>
      <c r="N30" s="50" t="s">
        <v>1525</v>
      </c>
      <c r="O30" s="47" t="s">
        <v>1622</v>
      </c>
      <c r="P30" s="47"/>
      <c r="Q30" s="47" t="s">
        <v>1463</v>
      </c>
      <c r="R30" s="47" t="s">
        <v>1463</v>
      </c>
      <c r="S30" s="43"/>
      <c r="T30" s="49">
        <v>44862</v>
      </c>
    </row>
    <row r="31" spans="1:20" ht="14.45" customHeight="1">
      <c r="A31" s="44" t="s">
        <v>1623</v>
      </c>
      <c r="B31" s="44" t="s">
        <v>1624</v>
      </c>
      <c r="C31" s="45" t="s">
        <v>1625</v>
      </c>
      <c r="D31" s="44" t="s">
        <v>1414</v>
      </c>
      <c r="E31" s="44" t="s">
        <v>1481</v>
      </c>
      <c r="F31" s="44"/>
      <c r="G31" s="44" t="s">
        <v>1466</v>
      </c>
      <c r="H31" s="44" t="s">
        <v>1626</v>
      </c>
      <c r="I31" s="46" t="s">
        <v>1625</v>
      </c>
      <c r="J31" s="46" t="s">
        <v>1627</v>
      </c>
      <c r="K31" s="46" t="s">
        <v>1484</v>
      </c>
      <c r="L31" s="46" t="s">
        <v>1504</v>
      </c>
      <c r="M31" s="46" t="s">
        <v>1628</v>
      </c>
      <c r="N31" s="46" t="s">
        <v>1629</v>
      </c>
      <c r="O31" s="44" t="s">
        <v>1630</v>
      </c>
      <c r="P31" s="44"/>
      <c r="Q31" s="44" t="s">
        <v>1463</v>
      </c>
      <c r="R31" s="44" t="s">
        <v>1463</v>
      </c>
      <c r="S31" s="43"/>
      <c r="T31" s="51">
        <v>44620</v>
      </c>
    </row>
    <row r="32" spans="1:20">
      <c r="A32" s="47" t="s">
        <v>1631</v>
      </c>
      <c r="B32" s="47" t="s">
        <v>1632</v>
      </c>
      <c r="C32" s="48" t="s">
        <v>1633</v>
      </c>
      <c r="D32" s="47" t="s">
        <v>1419</v>
      </c>
      <c r="E32" s="47" t="s">
        <v>1481</v>
      </c>
      <c r="F32" s="47"/>
      <c r="G32" s="47" t="s">
        <v>1466</v>
      </c>
      <c r="H32" s="47"/>
      <c r="I32" s="50"/>
      <c r="J32" s="50"/>
      <c r="K32" s="50"/>
      <c r="L32" s="50"/>
      <c r="M32" s="50"/>
      <c r="N32" s="50"/>
      <c r="O32" s="47"/>
      <c r="P32" s="47"/>
      <c r="Q32" s="47" t="s">
        <v>1463</v>
      </c>
      <c r="R32" s="47" t="s">
        <v>1463</v>
      </c>
      <c r="S32" s="43"/>
      <c r="T32" s="47"/>
    </row>
    <row r="33" spans="1:20">
      <c r="A33" s="44" t="s">
        <v>1634</v>
      </c>
      <c r="B33" s="44" t="s">
        <v>1635</v>
      </c>
      <c r="C33" s="45" t="s">
        <v>1636</v>
      </c>
      <c r="D33" s="44" t="s">
        <v>1420</v>
      </c>
      <c r="E33" s="44" t="s">
        <v>1460</v>
      </c>
      <c r="F33" s="51">
        <v>42426.975870335598</v>
      </c>
      <c r="G33" s="44" t="s">
        <v>1466</v>
      </c>
      <c r="H33" s="44" t="s">
        <v>1637</v>
      </c>
      <c r="I33" s="46" t="s">
        <v>1636</v>
      </c>
      <c r="J33" s="46" t="s">
        <v>1638</v>
      </c>
      <c r="K33" s="46" t="s">
        <v>1639</v>
      </c>
      <c r="L33" s="46" t="s">
        <v>1504</v>
      </c>
      <c r="M33" s="46" t="s">
        <v>1640</v>
      </c>
      <c r="N33" s="46" t="s">
        <v>1641</v>
      </c>
      <c r="O33" s="44" t="s">
        <v>1642</v>
      </c>
      <c r="P33" s="44"/>
      <c r="Q33" s="44" t="s">
        <v>1463</v>
      </c>
      <c r="R33" s="44" t="s">
        <v>1463</v>
      </c>
      <c r="S33" s="43"/>
      <c r="T33" s="44"/>
    </row>
    <row r="34" spans="1:20" ht="26.45">
      <c r="A34" s="47" t="s">
        <v>54</v>
      </c>
      <c r="B34" s="47" t="s">
        <v>1643</v>
      </c>
      <c r="C34" s="48" t="s">
        <v>540</v>
      </c>
      <c r="D34" s="47" t="s">
        <v>1419</v>
      </c>
      <c r="E34" s="47" t="s">
        <v>1481</v>
      </c>
      <c r="F34" s="47"/>
      <c r="G34" s="47" t="s">
        <v>1466</v>
      </c>
      <c r="H34" s="47" t="s">
        <v>1644</v>
      </c>
      <c r="I34" s="50" t="s">
        <v>1645</v>
      </c>
      <c r="J34" s="50" t="s">
        <v>1646</v>
      </c>
      <c r="K34" s="50" t="s">
        <v>1493</v>
      </c>
      <c r="L34" s="50" t="s">
        <v>1474</v>
      </c>
      <c r="M34" s="50" t="s">
        <v>1647</v>
      </c>
      <c r="N34" s="50" t="s">
        <v>1629</v>
      </c>
      <c r="O34" s="47" t="s">
        <v>1648</v>
      </c>
      <c r="P34" s="47" t="s">
        <v>1649</v>
      </c>
      <c r="Q34" s="47" t="s">
        <v>1463</v>
      </c>
      <c r="R34" s="47" t="s">
        <v>1463</v>
      </c>
      <c r="S34" s="43"/>
      <c r="T34" s="49">
        <v>45719</v>
      </c>
    </row>
    <row r="35" spans="1:20" ht="26.45">
      <c r="A35" s="44" t="s">
        <v>1650</v>
      </c>
      <c r="B35" s="44" t="s">
        <v>1651</v>
      </c>
      <c r="C35" s="45" t="s">
        <v>1652</v>
      </c>
      <c r="D35" s="44" t="s">
        <v>1420</v>
      </c>
      <c r="E35" s="44" t="s">
        <v>1481</v>
      </c>
      <c r="F35" s="44"/>
      <c r="G35" s="44" t="s">
        <v>1490</v>
      </c>
      <c r="H35" s="44"/>
      <c r="I35" s="46" t="s">
        <v>1652</v>
      </c>
      <c r="J35" s="46" t="s">
        <v>1653</v>
      </c>
      <c r="K35" s="46" t="s">
        <v>1654</v>
      </c>
      <c r="L35" s="46" t="s">
        <v>1504</v>
      </c>
      <c r="M35" s="46" t="s">
        <v>1655</v>
      </c>
      <c r="N35" s="46" t="s">
        <v>1531</v>
      </c>
      <c r="O35" s="44"/>
      <c r="P35" s="44"/>
      <c r="Q35" s="44" t="s">
        <v>1463</v>
      </c>
      <c r="R35" s="44" t="s">
        <v>1463</v>
      </c>
      <c r="S35" s="43"/>
      <c r="T35" s="44"/>
    </row>
    <row r="36" spans="1:20" ht="26.45">
      <c r="A36" s="47" t="s">
        <v>55</v>
      </c>
      <c r="B36" s="47" t="s">
        <v>1656</v>
      </c>
      <c r="C36" s="48" t="s">
        <v>541</v>
      </c>
      <c r="D36" s="47" t="s">
        <v>1420</v>
      </c>
      <c r="E36" s="47" t="s">
        <v>1481</v>
      </c>
      <c r="F36" s="47"/>
      <c r="G36" s="47" t="s">
        <v>1466</v>
      </c>
      <c r="H36" s="47" t="s">
        <v>1657</v>
      </c>
      <c r="I36" s="50" t="s">
        <v>541</v>
      </c>
      <c r="J36" s="50" t="s">
        <v>1658</v>
      </c>
      <c r="K36" s="50" t="s">
        <v>1654</v>
      </c>
      <c r="L36" s="50" t="s">
        <v>1474</v>
      </c>
      <c r="M36" s="50" t="s">
        <v>1655</v>
      </c>
      <c r="N36" s="50" t="s">
        <v>1476</v>
      </c>
      <c r="O36" s="47" t="s">
        <v>1659</v>
      </c>
      <c r="P36" s="47" t="s">
        <v>1660</v>
      </c>
      <c r="Q36" s="47" t="s">
        <v>1463</v>
      </c>
      <c r="R36" s="47" t="s">
        <v>1463</v>
      </c>
      <c r="S36" s="43"/>
      <c r="T36" s="49">
        <v>45316</v>
      </c>
    </row>
    <row r="37" spans="1:20">
      <c r="A37" s="44" t="s">
        <v>1661</v>
      </c>
      <c r="B37" s="44"/>
      <c r="C37" s="45" t="s">
        <v>1662</v>
      </c>
      <c r="D37" s="44" t="s">
        <v>1419</v>
      </c>
      <c r="E37" s="44" t="s">
        <v>1460</v>
      </c>
      <c r="F37" s="51">
        <v>41983.910759178201</v>
      </c>
      <c r="G37" s="44" t="s">
        <v>1663</v>
      </c>
      <c r="H37" s="44"/>
      <c r="I37" s="46"/>
      <c r="J37" s="46"/>
      <c r="K37" s="46"/>
      <c r="L37" s="46"/>
      <c r="M37" s="46"/>
      <c r="N37" s="46"/>
      <c r="O37" s="44"/>
      <c r="P37" s="44"/>
      <c r="Q37" s="44" t="s">
        <v>1463</v>
      </c>
      <c r="R37" s="44" t="s">
        <v>1463</v>
      </c>
      <c r="S37" s="43"/>
      <c r="T37" s="44"/>
    </row>
    <row r="38" spans="1:20" ht="26.45">
      <c r="A38" s="47" t="s">
        <v>1664</v>
      </c>
      <c r="B38" s="47" t="s">
        <v>1665</v>
      </c>
      <c r="C38" s="48" t="s">
        <v>1666</v>
      </c>
      <c r="D38" s="47" t="s">
        <v>1425</v>
      </c>
      <c r="E38" s="47" t="s">
        <v>1481</v>
      </c>
      <c r="F38" s="47"/>
      <c r="G38" s="47" t="s">
        <v>1461</v>
      </c>
      <c r="H38" s="47" t="s">
        <v>1667</v>
      </c>
      <c r="I38" s="50" t="s">
        <v>1668</v>
      </c>
      <c r="J38" s="50" t="s">
        <v>1669</v>
      </c>
      <c r="K38" s="50" t="s">
        <v>1425</v>
      </c>
      <c r="L38" s="50" t="s">
        <v>1504</v>
      </c>
      <c r="M38" s="50" t="s">
        <v>1670</v>
      </c>
      <c r="N38" s="50" t="s">
        <v>1495</v>
      </c>
      <c r="O38" s="47" t="s">
        <v>1671</v>
      </c>
      <c r="P38" s="47" t="s">
        <v>1672</v>
      </c>
      <c r="Q38" s="47" t="s">
        <v>1463</v>
      </c>
      <c r="R38" s="47" t="s">
        <v>1463</v>
      </c>
      <c r="S38" s="43"/>
      <c r="T38" s="49">
        <v>45642</v>
      </c>
    </row>
    <row r="39" spans="1:20">
      <c r="A39" s="44" t="s">
        <v>1673</v>
      </c>
      <c r="B39" s="44"/>
      <c r="C39" s="45" t="s">
        <v>1674</v>
      </c>
      <c r="D39" s="44" t="s">
        <v>1419</v>
      </c>
      <c r="E39" s="44" t="s">
        <v>1460</v>
      </c>
      <c r="F39" s="51">
        <v>41457.382442743103</v>
      </c>
      <c r="G39" s="44" t="s">
        <v>1466</v>
      </c>
      <c r="H39" s="44"/>
      <c r="I39" s="46"/>
      <c r="J39" s="46"/>
      <c r="K39" s="46"/>
      <c r="L39" s="46"/>
      <c r="M39" s="46"/>
      <c r="N39" s="46"/>
      <c r="O39" s="44"/>
      <c r="P39" s="44"/>
      <c r="Q39" s="44" t="s">
        <v>1463</v>
      </c>
      <c r="R39" s="44" t="s">
        <v>1463</v>
      </c>
      <c r="S39" s="43"/>
      <c r="T39" s="44"/>
    </row>
    <row r="40" spans="1:20">
      <c r="A40" s="47" t="s">
        <v>1675</v>
      </c>
      <c r="B40" s="47" t="s">
        <v>1676</v>
      </c>
      <c r="C40" s="48" t="s">
        <v>1677</v>
      </c>
      <c r="D40" s="47" t="s">
        <v>1419</v>
      </c>
      <c r="E40" s="47" t="s">
        <v>1481</v>
      </c>
      <c r="F40" s="47"/>
      <c r="G40" s="47" t="s">
        <v>1466</v>
      </c>
      <c r="H40" s="47" t="s">
        <v>1678</v>
      </c>
      <c r="I40" s="50" t="s">
        <v>1677</v>
      </c>
      <c r="J40" s="50" t="s">
        <v>1679</v>
      </c>
      <c r="K40" s="50" t="s">
        <v>1680</v>
      </c>
      <c r="L40" s="50" t="s">
        <v>1681</v>
      </c>
      <c r="M40" s="50" t="s">
        <v>1682</v>
      </c>
      <c r="N40" s="50"/>
      <c r="O40" s="47" t="s">
        <v>1683</v>
      </c>
      <c r="P40" s="47"/>
      <c r="Q40" s="47" t="s">
        <v>1463</v>
      </c>
      <c r="R40" s="47" t="s">
        <v>1463</v>
      </c>
      <c r="S40" s="43"/>
      <c r="T40" s="49">
        <v>42543</v>
      </c>
    </row>
    <row r="41" spans="1:20">
      <c r="A41" s="44" t="s">
        <v>1684</v>
      </c>
      <c r="B41" s="44"/>
      <c r="C41" s="45" t="s">
        <v>1685</v>
      </c>
      <c r="D41" s="44" t="s">
        <v>1419</v>
      </c>
      <c r="E41" s="44" t="s">
        <v>1460</v>
      </c>
      <c r="F41" s="51">
        <v>41457.3824417824</v>
      </c>
      <c r="G41" s="44" t="s">
        <v>1466</v>
      </c>
      <c r="H41" s="44"/>
      <c r="I41" s="46"/>
      <c r="J41" s="46"/>
      <c r="K41" s="46"/>
      <c r="L41" s="46"/>
      <c r="M41" s="46"/>
      <c r="N41" s="46"/>
      <c r="O41" s="44"/>
      <c r="P41" s="44"/>
      <c r="Q41" s="44" t="s">
        <v>1463</v>
      </c>
      <c r="R41" s="44" t="s">
        <v>1463</v>
      </c>
      <c r="S41" s="43"/>
      <c r="T41" s="44"/>
    </row>
    <row r="42" spans="1:20" ht="26.45">
      <c r="A42" s="47" t="s">
        <v>542</v>
      </c>
      <c r="B42" s="47" t="s">
        <v>1686</v>
      </c>
      <c r="C42" s="48" t="s">
        <v>543</v>
      </c>
      <c r="D42" s="47" t="s">
        <v>1419</v>
      </c>
      <c r="E42" s="47" t="s">
        <v>1481</v>
      </c>
      <c r="F42" s="47"/>
      <c r="G42" s="47" t="s">
        <v>1687</v>
      </c>
      <c r="H42" s="47" t="s">
        <v>1688</v>
      </c>
      <c r="I42" s="50" t="s">
        <v>1689</v>
      </c>
      <c r="J42" s="50" t="s">
        <v>1690</v>
      </c>
      <c r="K42" s="50" t="s">
        <v>1691</v>
      </c>
      <c r="L42" s="50" t="s">
        <v>1504</v>
      </c>
      <c r="M42" s="50" t="s">
        <v>1692</v>
      </c>
      <c r="N42" s="50" t="s">
        <v>1495</v>
      </c>
      <c r="O42" s="47" t="s">
        <v>1693</v>
      </c>
      <c r="P42" s="47" t="s">
        <v>1694</v>
      </c>
      <c r="Q42" s="47" t="s">
        <v>1695</v>
      </c>
      <c r="R42" s="47" t="s">
        <v>1463</v>
      </c>
      <c r="S42" s="43"/>
      <c r="T42" s="49">
        <v>45692</v>
      </c>
    </row>
    <row r="43" spans="1:20" ht="26.45">
      <c r="A43" s="44" t="s">
        <v>56</v>
      </c>
      <c r="B43" s="44" t="s">
        <v>1696</v>
      </c>
      <c r="C43" s="45" t="s">
        <v>544</v>
      </c>
      <c r="D43" s="44" t="s">
        <v>1419</v>
      </c>
      <c r="E43" s="44" t="s">
        <v>1481</v>
      </c>
      <c r="F43" s="44"/>
      <c r="G43" s="44" t="s">
        <v>1687</v>
      </c>
      <c r="H43" s="44" t="s">
        <v>1697</v>
      </c>
      <c r="I43" s="46" t="s">
        <v>1698</v>
      </c>
      <c r="J43" s="46" t="s">
        <v>1699</v>
      </c>
      <c r="K43" s="46" t="s">
        <v>1700</v>
      </c>
      <c r="L43" s="46" t="s">
        <v>1474</v>
      </c>
      <c r="M43" s="46" t="s">
        <v>1701</v>
      </c>
      <c r="N43" s="46" t="s">
        <v>1516</v>
      </c>
      <c r="O43" s="44" t="s">
        <v>1702</v>
      </c>
      <c r="P43" s="44" t="s">
        <v>1703</v>
      </c>
      <c r="Q43" s="44" t="s">
        <v>1695</v>
      </c>
      <c r="R43" s="44" t="s">
        <v>1463</v>
      </c>
      <c r="S43" s="43"/>
      <c r="T43" s="51">
        <v>45345</v>
      </c>
    </row>
    <row r="44" spans="1:20">
      <c r="A44" s="47" t="s">
        <v>1704</v>
      </c>
      <c r="B44" s="47" t="s">
        <v>1705</v>
      </c>
      <c r="C44" s="48" t="s">
        <v>1706</v>
      </c>
      <c r="D44" s="47" t="s">
        <v>1416</v>
      </c>
      <c r="E44" s="47" t="s">
        <v>1460</v>
      </c>
      <c r="F44" s="49">
        <v>43656.7080830208</v>
      </c>
      <c r="G44" s="47" t="s">
        <v>1687</v>
      </c>
      <c r="H44" s="47"/>
      <c r="I44" s="50"/>
      <c r="J44" s="50"/>
      <c r="K44" s="50"/>
      <c r="L44" s="50"/>
      <c r="M44" s="50"/>
      <c r="N44" s="50"/>
      <c r="O44" s="47"/>
      <c r="P44" s="47"/>
      <c r="Q44" s="47" t="s">
        <v>1463</v>
      </c>
      <c r="R44" s="47" t="s">
        <v>1463</v>
      </c>
      <c r="S44" s="43"/>
      <c r="T44" s="47"/>
    </row>
    <row r="45" spans="1:20">
      <c r="A45" s="44" t="s">
        <v>1707</v>
      </c>
      <c r="B45" s="44" t="s">
        <v>1708</v>
      </c>
      <c r="C45" s="45" t="s">
        <v>1709</v>
      </c>
      <c r="D45" s="44" t="s">
        <v>1419</v>
      </c>
      <c r="E45" s="44" t="s">
        <v>1460</v>
      </c>
      <c r="F45" s="51">
        <v>42459.742026076397</v>
      </c>
      <c r="G45" s="44" t="s">
        <v>1466</v>
      </c>
      <c r="H45" s="44" t="s">
        <v>1710</v>
      </c>
      <c r="I45" s="46" t="s">
        <v>1709</v>
      </c>
      <c r="J45" s="46" t="s">
        <v>1711</v>
      </c>
      <c r="K45" s="46" t="s">
        <v>1712</v>
      </c>
      <c r="L45" s="46" t="s">
        <v>1504</v>
      </c>
      <c r="M45" s="46" t="s">
        <v>1713</v>
      </c>
      <c r="N45" s="46"/>
      <c r="O45" s="44" t="s">
        <v>1714</v>
      </c>
      <c r="P45" s="44"/>
      <c r="Q45" s="44" t="s">
        <v>1463</v>
      </c>
      <c r="R45" s="44" t="s">
        <v>1463</v>
      </c>
      <c r="S45" s="43"/>
      <c r="T45" s="51">
        <v>42495</v>
      </c>
    </row>
    <row r="46" spans="1:20" ht="26.45">
      <c r="A46" s="47" t="s">
        <v>545</v>
      </c>
      <c r="B46" s="47" t="s">
        <v>1715</v>
      </c>
      <c r="C46" s="48" t="s">
        <v>546</v>
      </c>
      <c r="D46" s="47" t="s">
        <v>1419</v>
      </c>
      <c r="E46" s="47" t="s">
        <v>1481</v>
      </c>
      <c r="F46" s="47"/>
      <c r="G46" s="47" t="s">
        <v>1466</v>
      </c>
      <c r="H46" s="47" t="s">
        <v>1716</v>
      </c>
      <c r="I46" s="50" t="s">
        <v>548</v>
      </c>
      <c r="J46" s="50" t="s">
        <v>1717</v>
      </c>
      <c r="K46" s="50" t="s">
        <v>1493</v>
      </c>
      <c r="L46" s="50" t="s">
        <v>1504</v>
      </c>
      <c r="M46" s="50" t="s">
        <v>1718</v>
      </c>
      <c r="N46" s="50" t="s">
        <v>1629</v>
      </c>
      <c r="O46" s="47" t="s">
        <v>1719</v>
      </c>
      <c r="P46" s="47" t="s">
        <v>1720</v>
      </c>
      <c r="Q46" s="47" t="s">
        <v>1463</v>
      </c>
      <c r="R46" s="47" t="s">
        <v>1463</v>
      </c>
      <c r="S46" s="43"/>
      <c r="T46" s="49">
        <v>45363</v>
      </c>
    </row>
    <row r="47" spans="1:20" ht="26.45">
      <c r="A47" s="44" t="s">
        <v>1721</v>
      </c>
      <c r="B47" s="44"/>
      <c r="C47" s="45" t="s">
        <v>1722</v>
      </c>
      <c r="D47" s="44" t="s">
        <v>1419</v>
      </c>
      <c r="E47" s="44" t="s">
        <v>1460</v>
      </c>
      <c r="F47" s="51">
        <v>41949.868801006902</v>
      </c>
      <c r="G47" s="44" t="s">
        <v>1466</v>
      </c>
      <c r="H47" s="44"/>
      <c r="I47" s="46"/>
      <c r="J47" s="46"/>
      <c r="K47" s="46"/>
      <c r="L47" s="46"/>
      <c r="M47" s="46"/>
      <c r="N47" s="46"/>
      <c r="O47" s="44"/>
      <c r="P47" s="44"/>
      <c r="Q47" s="44" t="s">
        <v>1463</v>
      </c>
      <c r="R47" s="44" t="s">
        <v>1463</v>
      </c>
      <c r="S47" s="43"/>
      <c r="T47" s="44"/>
    </row>
    <row r="48" spans="1:20" ht="26.45">
      <c r="A48" s="47" t="s">
        <v>547</v>
      </c>
      <c r="B48" s="47" t="s">
        <v>1723</v>
      </c>
      <c r="C48" s="48" t="s">
        <v>548</v>
      </c>
      <c r="D48" s="47" t="s">
        <v>1419</v>
      </c>
      <c r="E48" s="47" t="s">
        <v>1481</v>
      </c>
      <c r="F48" s="47"/>
      <c r="G48" s="47" t="s">
        <v>1466</v>
      </c>
      <c r="H48" s="47" t="s">
        <v>1724</v>
      </c>
      <c r="I48" s="50" t="s">
        <v>1725</v>
      </c>
      <c r="J48" s="50" t="s">
        <v>1726</v>
      </c>
      <c r="K48" s="50" t="s">
        <v>1727</v>
      </c>
      <c r="L48" s="50" t="s">
        <v>1504</v>
      </c>
      <c r="M48" s="50" t="s">
        <v>1728</v>
      </c>
      <c r="N48" s="50" t="s">
        <v>1729</v>
      </c>
      <c r="O48" s="47" t="s">
        <v>1730</v>
      </c>
      <c r="P48" s="47" t="s">
        <v>1731</v>
      </c>
      <c r="Q48" s="47" t="s">
        <v>1463</v>
      </c>
      <c r="R48" s="47" t="s">
        <v>1463</v>
      </c>
      <c r="S48" s="43"/>
      <c r="T48" s="49">
        <v>45428</v>
      </c>
    </row>
    <row r="49" spans="1:20">
      <c r="A49" s="44" t="s">
        <v>1732</v>
      </c>
      <c r="B49" s="44"/>
      <c r="C49" s="45" t="s">
        <v>1733</v>
      </c>
      <c r="D49" s="44" t="s">
        <v>1419</v>
      </c>
      <c r="E49" s="44" t="s">
        <v>1460</v>
      </c>
      <c r="F49" s="51">
        <v>41457.382442708302</v>
      </c>
      <c r="G49" s="44" t="s">
        <v>1466</v>
      </c>
      <c r="H49" s="44"/>
      <c r="I49" s="46"/>
      <c r="J49" s="46"/>
      <c r="K49" s="46"/>
      <c r="L49" s="46"/>
      <c r="M49" s="46"/>
      <c r="N49" s="46"/>
      <c r="O49" s="44"/>
      <c r="P49" s="44"/>
      <c r="Q49" s="44" t="s">
        <v>1463</v>
      </c>
      <c r="R49" s="44" t="s">
        <v>1463</v>
      </c>
      <c r="S49" s="43"/>
      <c r="T49" s="44"/>
    </row>
    <row r="50" spans="1:20" ht="26.45">
      <c r="A50" s="47" t="s">
        <v>1734</v>
      </c>
      <c r="B50" s="47" t="s">
        <v>1735</v>
      </c>
      <c r="C50" s="48" t="s">
        <v>1736</v>
      </c>
      <c r="D50" s="47" t="s">
        <v>1419</v>
      </c>
      <c r="E50" s="47" t="s">
        <v>1481</v>
      </c>
      <c r="F50" s="47"/>
      <c r="G50" s="47" t="s">
        <v>1466</v>
      </c>
      <c r="H50" s="47" t="s">
        <v>1737</v>
      </c>
      <c r="I50" s="50"/>
      <c r="J50" s="50"/>
      <c r="K50" s="50"/>
      <c r="L50" s="50"/>
      <c r="M50" s="50"/>
      <c r="N50" s="50"/>
      <c r="O50" s="47"/>
      <c r="P50" s="47"/>
      <c r="Q50" s="47" t="s">
        <v>1463</v>
      </c>
      <c r="R50" s="47" t="s">
        <v>1463</v>
      </c>
      <c r="S50" s="43"/>
      <c r="T50" s="47"/>
    </row>
    <row r="51" spans="1:20" ht="26.45">
      <c r="A51" s="44" t="s">
        <v>1738</v>
      </c>
      <c r="B51" s="44" t="s">
        <v>1739</v>
      </c>
      <c r="C51" s="45" t="s">
        <v>1740</v>
      </c>
      <c r="D51" s="44" t="s">
        <v>1410</v>
      </c>
      <c r="E51" s="44" t="s">
        <v>1481</v>
      </c>
      <c r="F51" s="44"/>
      <c r="G51" s="44" t="s">
        <v>1490</v>
      </c>
      <c r="H51" s="44"/>
      <c r="I51" s="46" t="s">
        <v>1740</v>
      </c>
      <c r="J51" s="46" t="s">
        <v>1741</v>
      </c>
      <c r="K51" s="46" t="s">
        <v>1742</v>
      </c>
      <c r="L51" s="46" t="s">
        <v>1504</v>
      </c>
      <c r="M51" s="46" t="s">
        <v>1743</v>
      </c>
      <c r="N51" s="46" t="s">
        <v>1744</v>
      </c>
      <c r="O51" s="44"/>
      <c r="P51" s="44"/>
      <c r="Q51" s="44" t="s">
        <v>1463</v>
      </c>
      <c r="R51" s="44" t="s">
        <v>1463</v>
      </c>
      <c r="S51" s="43"/>
      <c r="T51" s="44"/>
    </row>
    <row r="52" spans="1:20" ht="26.45">
      <c r="A52" s="47" t="s">
        <v>57</v>
      </c>
      <c r="B52" s="47" t="s">
        <v>1745</v>
      </c>
      <c r="C52" s="48" t="s">
        <v>549</v>
      </c>
      <c r="D52" s="47" t="s">
        <v>1414</v>
      </c>
      <c r="E52" s="47" t="s">
        <v>1481</v>
      </c>
      <c r="F52" s="47"/>
      <c r="G52" s="47" t="s">
        <v>1687</v>
      </c>
      <c r="H52" s="47" t="s">
        <v>1746</v>
      </c>
      <c r="I52" s="50" t="s">
        <v>1747</v>
      </c>
      <c r="J52" s="50" t="s">
        <v>1748</v>
      </c>
      <c r="K52" s="50" t="s">
        <v>1749</v>
      </c>
      <c r="L52" s="50" t="s">
        <v>1504</v>
      </c>
      <c r="M52" s="50" t="s">
        <v>1750</v>
      </c>
      <c r="N52" s="50" t="s">
        <v>1629</v>
      </c>
      <c r="O52" s="47" t="s">
        <v>1751</v>
      </c>
      <c r="P52" s="47" t="s">
        <v>1752</v>
      </c>
      <c r="Q52" s="47" t="s">
        <v>1695</v>
      </c>
      <c r="R52" s="47" t="s">
        <v>1463</v>
      </c>
      <c r="S52" s="43"/>
      <c r="T52" s="49">
        <v>45677</v>
      </c>
    </row>
    <row r="53" spans="1:20" ht="39.6">
      <c r="A53" s="44" t="s">
        <v>1753</v>
      </c>
      <c r="B53" s="44" t="s">
        <v>1754</v>
      </c>
      <c r="C53" s="45" t="s">
        <v>1755</v>
      </c>
      <c r="D53" s="44" t="s">
        <v>1410</v>
      </c>
      <c r="E53" s="44" t="s">
        <v>1481</v>
      </c>
      <c r="F53" s="44"/>
      <c r="G53" s="44" t="s">
        <v>1511</v>
      </c>
      <c r="H53" s="44" t="s">
        <v>1756</v>
      </c>
      <c r="I53" s="46" t="s">
        <v>1755</v>
      </c>
      <c r="J53" s="46" t="s">
        <v>1757</v>
      </c>
      <c r="K53" s="46" t="s">
        <v>1419</v>
      </c>
      <c r="L53" s="46" t="s">
        <v>1504</v>
      </c>
      <c r="M53" s="46" t="s">
        <v>1758</v>
      </c>
      <c r="N53" s="46"/>
      <c r="O53" s="44" t="s">
        <v>1759</v>
      </c>
      <c r="P53" s="44"/>
      <c r="Q53" s="44" t="s">
        <v>1463</v>
      </c>
      <c r="R53" s="44" t="s">
        <v>1463</v>
      </c>
      <c r="S53" s="43"/>
      <c r="T53" s="51">
        <v>44518</v>
      </c>
    </row>
    <row r="54" spans="1:20" ht="26.45">
      <c r="A54" s="47" t="s">
        <v>58</v>
      </c>
      <c r="B54" s="47" t="s">
        <v>1760</v>
      </c>
      <c r="C54" s="48" t="s">
        <v>550</v>
      </c>
      <c r="D54" s="47" t="s">
        <v>1410</v>
      </c>
      <c r="E54" s="47" t="s">
        <v>1481</v>
      </c>
      <c r="F54" s="47"/>
      <c r="G54" s="47" t="s">
        <v>1466</v>
      </c>
      <c r="H54" s="47" t="s">
        <v>1761</v>
      </c>
      <c r="I54" s="50" t="s">
        <v>1762</v>
      </c>
      <c r="J54" s="50" t="s">
        <v>1763</v>
      </c>
      <c r="K54" s="50" t="s">
        <v>1764</v>
      </c>
      <c r="L54" s="50" t="s">
        <v>1504</v>
      </c>
      <c r="M54" s="50" t="s">
        <v>1765</v>
      </c>
      <c r="N54" s="50" t="s">
        <v>1641</v>
      </c>
      <c r="O54" s="47" t="s">
        <v>1766</v>
      </c>
      <c r="P54" s="47" t="s">
        <v>1767</v>
      </c>
      <c r="Q54" s="47" t="s">
        <v>1463</v>
      </c>
      <c r="R54" s="47" t="s">
        <v>1463</v>
      </c>
      <c r="S54" s="43"/>
      <c r="T54" s="49">
        <v>45529</v>
      </c>
    </row>
    <row r="55" spans="1:20" ht="26.45">
      <c r="A55" s="44" t="s">
        <v>551</v>
      </c>
      <c r="B55" s="44" t="s">
        <v>1768</v>
      </c>
      <c r="C55" s="45" t="s">
        <v>552</v>
      </c>
      <c r="D55" s="44" t="s">
        <v>1410</v>
      </c>
      <c r="E55" s="44" t="s">
        <v>1481</v>
      </c>
      <c r="F55" s="44"/>
      <c r="G55" s="44" t="s">
        <v>1466</v>
      </c>
      <c r="H55" s="44" t="s">
        <v>1769</v>
      </c>
      <c r="I55" s="46" t="s">
        <v>1770</v>
      </c>
      <c r="J55" s="46" t="s">
        <v>1771</v>
      </c>
      <c r="K55" s="46" t="s">
        <v>1772</v>
      </c>
      <c r="L55" s="46" t="s">
        <v>1504</v>
      </c>
      <c r="M55" s="46" t="s">
        <v>1765</v>
      </c>
      <c r="N55" s="46" t="s">
        <v>1641</v>
      </c>
      <c r="O55" s="44" t="s">
        <v>1773</v>
      </c>
      <c r="P55" s="44" t="s">
        <v>1774</v>
      </c>
      <c r="Q55" s="44" t="s">
        <v>1463</v>
      </c>
      <c r="R55" s="44" t="s">
        <v>1463</v>
      </c>
      <c r="S55" s="43"/>
      <c r="T55" s="51">
        <v>45555</v>
      </c>
    </row>
    <row r="56" spans="1:20" ht="26.45">
      <c r="A56" s="47" t="s">
        <v>1775</v>
      </c>
      <c r="B56" s="47" t="s">
        <v>1776</v>
      </c>
      <c r="C56" s="48" t="s">
        <v>1777</v>
      </c>
      <c r="D56" s="47" t="s">
        <v>1419</v>
      </c>
      <c r="E56" s="47" t="s">
        <v>1481</v>
      </c>
      <c r="F56" s="47"/>
      <c r="G56" s="47" t="s">
        <v>1490</v>
      </c>
      <c r="H56" s="47" t="s">
        <v>1778</v>
      </c>
      <c r="I56" s="50" t="s">
        <v>1779</v>
      </c>
      <c r="J56" s="50" t="s">
        <v>1780</v>
      </c>
      <c r="K56" s="50" t="s">
        <v>1493</v>
      </c>
      <c r="L56" s="50" t="s">
        <v>1474</v>
      </c>
      <c r="M56" s="50" t="s">
        <v>1781</v>
      </c>
      <c r="N56" s="50" t="s">
        <v>1476</v>
      </c>
      <c r="O56" s="47" t="s">
        <v>1782</v>
      </c>
      <c r="P56" s="47" t="s">
        <v>1783</v>
      </c>
      <c r="Q56" s="47" t="s">
        <v>1463</v>
      </c>
      <c r="R56" s="47" t="s">
        <v>1463</v>
      </c>
      <c r="S56" s="43"/>
      <c r="T56" s="49">
        <v>45400</v>
      </c>
    </row>
    <row r="57" spans="1:20" ht="26.45">
      <c r="A57" s="44" t="s">
        <v>1784</v>
      </c>
      <c r="B57" s="44" t="s">
        <v>1785</v>
      </c>
      <c r="C57" s="45" t="s">
        <v>1786</v>
      </c>
      <c r="D57" s="44" t="s">
        <v>1419</v>
      </c>
      <c r="E57" s="44" t="s">
        <v>1460</v>
      </c>
      <c r="F57" s="51">
        <v>43928.823947835597</v>
      </c>
      <c r="G57" s="44" t="s">
        <v>1466</v>
      </c>
      <c r="H57" s="44" t="s">
        <v>1787</v>
      </c>
      <c r="I57" s="46" t="s">
        <v>1788</v>
      </c>
      <c r="J57" s="46" t="s">
        <v>1548</v>
      </c>
      <c r="K57" s="46" t="s">
        <v>1549</v>
      </c>
      <c r="L57" s="46" t="s">
        <v>1504</v>
      </c>
      <c r="M57" s="46" t="s">
        <v>1550</v>
      </c>
      <c r="N57" s="46" t="s">
        <v>1525</v>
      </c>
      <c r="O57" s="44" t="s">
        <v>1789</v>
      </c>
      <c r="P57" s="44"/>
      <c r="Q57" s="44" t="s">
        <v>1463</v>
      </c>
      <c r="R57" s="44" t="s">
        <v>1463</v>
      </c>
      <c r="S57" s="43"/>
      <c r="T57" s="51">
        <v>44285</v>
      </c>
    </row>
    <row r="58" spans="1:20">
      <c r="A58" s="47" t="s">
        <v>1790</v>
      </c>
      <c r="B58" s="47" t="s">
        <v>1791</v>
      </c>
      <c r="C58" s="48" t="s">
        <v>1792</v>
      </c>
      <c r="D58" s="47" t="s">
        <v>1419</v>
      </c>
      <c r="E58" s="47" t="s">
        <v>1481</v>
      </c>
      <c r="F58" s="47"/>
      <c r="G58" s="47" t="s">
        <v>1466</v>
      </c>
      <c r="H58" s="47"/>
      <c r="I58" s="50" t="s">
        <v>1792</v>
      </c>
      <c r="J58" s="50"/>
      <c r="K58" s="50"/>
      <c r="L58" s="50"/>
      <c r="M58" s="50" t="s">
        <v>1793</v>
      </c>
      <c r="N58" s="50"/>
      <c r="O58" s="47" t="s">
        <v>1794</v>
      </c>
      <c r="P58" s="47"/>
      <c r="Q58" s="47" t="s">
        <v>1463</v>
      </c>
      <c r="R58" s="47" t="s">
        <v>1463</v>
      </c>
      <c r="S58" s="43"/>
      <c r="T58" s="47"/>
    </row>
    <row r="59" spans="1:20" ht="26.45">
      <c r="A59" s="44" t="s">
        <v>59</v>
      </c>
      <c r="B59" s="44" t="s">
        <v>1795</v>
      </c>
      <c r="C59" s="45" t="s">
        <v>553</v>
      </c>
      <c r="D59" s="44" t="s">
        <v>1419</v>
      </c>
      <c r="E59" s="44" t="s">
        <v>1481</v>
      </c>
      <c r="F59" s="44"/>
      <c r="G59" s="44" t="s">
        <v>1687</v>
      </c>
      <c r="H59" s="44" t="s">
        <v>1796</v>
      </c>
      <c r="I59" s="46" t="s">
        <v>1797</v>
      </c>
      <c r="J59" s="46" t="s">
        <v>1798</v>
      </c>
      <c r="K59" s="46" t="s">
        <v>1493</v>
      </c>
      <c r="L59" s="46" t="s">
        <v>1504</v>
      </c>
      <c r="M59" s="46" t="s">
        <v>1799</v>
      </c>
      <c r="N59" s="46" t="s">
        <v>1629</v>
      </c>
      <c r="O59" s="44" t="s">
        <v>1800</v>
      </c>
      <c r="P59" s="44" t="s">
        <v>1801</v>
      </c>
      <c r="Q59" s="44" t="s">
        <v>1463</v>
      </c>
      <c r="R59" s="44" t="s">
        <v>1463</v>
      </c>
      <c r="S59" s="43"/>
      <c r="T59" s="51">
        <v>45594</v>
      </c>
    </row>
    <row r="60" spans="1:20" ht="26.45">
      <c r="A60" s="47" t="s">
        <v>1802</v>
      </c>
      <c r="B60" s="47" t="s">
        <v>1803</v>
      </c>
      <c r="C60" s="48" t="s">
        <v>1804</v>
      </c>
      <c r="D60" s="47" t="s">
        <v>1419</v>
      </c>
      <c r="E60" s="47" t="s">
        <v>1481</v>
      </c>
      <c r="F60" s="47"/>
      <c r="G60" s="47" t="s">
        <v>1466</v>
      </c>
      <c r="H60" s="47" t="s">
        <v>1805</v>
      </c>
      <c r="I60" s="50" t="s">
        <v>1804</v>
      </c>
      <c r="J60" s="50" t="s">
        <v>1806</v>
      </c>
      <c r="K60" s="50" t="s">
        <v>1493</v>
      </c>
      <c r="L60" s="50" t="s">
        <v>1504</v>
      </c>
      <c r="M60" s="50" t="s">
        <v>1807</v>
      </c>
      <c r="N60" s="50" t="s">
        <v>1495</v>
      </c>
      <c r="O60" s="47" t="s">
        <v>1808</v>
      </c>
      <c r="P60" s="47" t="s">
        <v>1809</v>
      </c>
      <c r="Q60" s="47" t="s">
        <v>1463</v>
      </c>
      <c r="R60" s="47" t="s">
        <v>1463</v>
      </c>
      <c r="S60" s="43"/>
      <c r="T60" s="49">
        <v>45042</v>
      </c>
    </row>
    <row r="61" spans="1:20">
      <c r="A61" s="44" t="s">
        <v>1810</v>
      </c>
      <c r="B61" s="44"/>
      <c r="C61" s="45" t="s">
        <v>1811</v>
      </c>
      <c r="D61" s="44" t="s">
        <v>1419</v>
      </c>
      <c r="E61" s="44" t="s">
        <v>1460</v>
      </c>
      <c r="F61" s="51">
        <v>41474.645852395799</v>
      </c>
      <c r="G61" s="44" t="s">
        <v>1461</v>
      </c>
      <c r="H61" s="44"/>
      <c r="I61" s="46"/>
      <c r="J61" s="46"/>
      <c r="K61" s="46"/>
      <c r="L61" s="46"/>
      <c r="M61" s="46"/>
      <c r="N61" s="46"/>
      <c r="O61" s="44"/>
      <c r="P61" s="44"/>
      <c r="Q61" s="44" t="s">
        <v>1463</v>
      </c>
      <c r="R61" s="44" t="s">
        <v>1463</v>
      </c>
      <c r="S61" s="43"/>
      <c r="T61" s="44"/>
    </row>
    <row r="62" spans="1:20" ht="26.45">
      <c r="A62" s="47" t="s">
        <v>1812</v>
      </c>
      <c r="B62" s="47" t="s">
        <v>1813</v>
      </c>
      <c r="C62" s="48" t="s">
        <v>1814</v>
      </c>
      <c r="D62" s="47" t="s">
        <v>1419</v>
      </c>
      <c r="E62" s="47" t="s">
        <v>1481</v>
      </c>
      <c r="F62" s="47"/>
      <c r="G62" s="47" t="s">
        <v>1490</v>
      </c>
      <c r="H62" s="47"/>
      <c r="I62" s="50" t="s">
        <v>1815</v>
      </c>
      <c r="J62" s="50" t="s">
        <v>1816</v>
      </c>
      <c r="K62" s="50" t="s">
        <v>1503</v>
      </c>
      <c r="L62" s="50" t="s">
        <v>1504</v>
      </c>
      <c r="M62" s="50" t="s">
        <v>1817</v>
      </c>
      <c r="N62" s="50"/>
      <c r="O62" s="47"/>
      <c r="P62" s="47"/>
      <c r="Q62" s="47" t="s">
        <v>1463</v>
      </c>
      <c r="R62" s="47" t="s">
        <v>1463</v>
      </c>
      <c r="S62" s="43"/>
      <c r="T62" s="47"/>
    </row>
    <row r="63" spans="1:20">
      <c r="A63" s="44" t="s">
        <v>1818</v>
      </c>
      <c r="B63" s="44" t="s">
        <v>1819</v>
      </c>
      <c r="C63" s="45" t="s">
        <v>1820</v>
      </c>
      <c r="D63" s="44" t="s">
        <v>1419</v>
      </c>
      <c r="E63" s="44" t="s">
        <v>1481</v>
      </c>
      <c r="F63" s="44"/>
      <c r="G63" s="44" t="s">
        <v>1466</v>
      </c>
      <c r="H63" s="44" t="s">
        <v>1821</v>
      </c>
      <c r="I63" s="46" t="s">
        <v>1820</v>
      </c>
      <c r="J63" s="46"/>
      <c r="K63" s="46"/>
      <c r="L63" s="46"/>
      <c r="M63" s="46"/>
      <c r="N63" s="46"/>
      <c r="O63" s="44" t="s">
        <v>1822</v>
      </c>
      <c r="P63" s="44"/>
      <c r="Q63" s="44" t="s">
        <v>1463</v>
      </c>
      <c r="R63" s="44" t="s">
        <v>1463</v>
      </c>
      <c r="S63" s="43"/>
      <c r="T63" s="44"/>
    </row>
    <row r="64" spans="1:20">
      <c r="A64" s="47" t="s">
        <v>1823</v>
      </c>
      <c r="B64" s="47" t="s">
        <v>1824</v>
      </c>
      <c r="C64" s="48" t="s">
        <v>1825</v>
      </c>
      <c r="D64" s="47" t="s">
        <v>1414</v>
      </c>
      <c r="E64" s="47" t="s">
        <v>1481</v>
      </c>
      <c r="F64" s="47"/>
      <c r="G64" s="47" t="s">
        <v>1466</v>
      </c>
      <c r="H64" s="47" t="s">
        <v>1826</v>
      </c>
      <c r="I64" s="50" t="s">
        <v>1825</v>
      </c>
      <c r="J64" s="50"/>
      <c r="K64" s="50"/>
      <c r="L64" s="50"/>
      <c r="M64" s="50"/>
      <c r="N64" s="50"/>
      <c r="O64" s="47" t="s">
        <v>1827</v>
      </c>
      <c r="P64" s="47"/>
      <c r="Q64" s="47" t="s">
        <v>1463</v>
      </c>
      <c r="R64" s="47" t="s">
        <v>1463</v>
      </c>
      <c r="S64" s="43"/>
      <c r="T64" s="47"/>
    </row>
    <row r="65" spans="1:20" ht="26.45">
      <c r="A65" s="44" t="s">
        <v>60</v>
      </c>
      <c r="B65" s="44" t="s">
        <v>1828</v>
      </c>
      <c r="C65" s="45" t="s">
        <v>554</v>
      </c>
      <c r="D65" s="44" t="s">
        <v>1424</v>
      </c>
      <c r="E65" s="44" t="s">
        <v>1481</v>
      </c>
      <c r="F65" s="44"/>
      <c r="G65" s="44" t="s">
        <v>1687</v>
      </c>
      <c r="H65" s="44" t="s">
        <v>1829</v>
      </c>
      <c r="I65" s="46" t="s">
        <v>1830</v>
      </c>
      <c r="J65" s="46" t="s">
        <v>1831</v>
      </c>
      <c r="K65" s="46" t="s">
        <v>1832</v>
      </c>
      <c r="L65" s="46" t="s">
        <v>1504</v>
      </c>
      <c r="M65" s="46" t="s">
        <v>1833</v>
      </c>
      <c r="N65" s="46" t="s">
        <v>1641</v>
      </c>
      <c r="O65" s="44" t="s">
        <v>1834</v>
      </c>
      <c r="P65" s="44" t="s">
        <v>1835</v>
      </c>
      <c r="Q65" s="44" t="s">
        <v>1695</v>
      </c>
      <c r="R65" s="44" t="s">
        <v>1463</v>
      </c>
      <c r="S65" s="43"/>
      <c r="T65" s="51">
        <v>45532</v>
      </c>
    </row>
    <row r="66" spans="1:20" ht="26.45">
      <c r="A66" s="47" t="s">
        <v>61</v>
      </c>
      <c r="B66" s="47" t="s">
        <v>1836</v>
      </c>
      <c r="C66" s="48" t="s">
        <v>555</v>
      </c>
      <c r="D66" s="47" t="s">
        <v>1414</v>
      </c>
      <c r="E66" s="47" t="s">
        <v>1481</v>
      </c>
      <c r="F66" s="47"/>
      <c r="G66" s="47" t="s">
        <v>1687</v>
      </c>
      <c r="H66" s="47" t="s">
        <v>1837</v>
      </c>
      <c r="I66" s="50" t="s">
        <v>1838</v>
      </c>
      <c r="J66" s="50" t="s">
        <v>1839</v>
      </c>
      <c r="K66" s="50" t="s">
        <v>1484</v>
      </c>
      <c r="L66" s="50" t="s">
        <v>1474</v>
      </c>
      <c r="M66" s="50" t="s">
        <v>1840</v>
      </c>
      <c r="N66" s="50" t="s">
        <v>1495</v>
      </c>
      <c r="O66" s="47" t="s">
        <v>1841</v>
      </c>
      <c r="P66" s="47" t="s">
        <v>1842</v>
      </c>
      <c r="Q66" s="47" t="s">
        <v>1695</v>
      </c>
      <c r="R66" s="47" t="s">
        <v>1463</v>
      </c>
      <c r="S66" s="43"/>
      <c r="T66" s="49">
        <v>45502</v>
      </c>
    </row>
    <row r="67" spans="1:20" ht="26.45">
      <c r="A67" s="44" t="s">
        <v>1843</v>
      </c>
      <c r="B67" s="44" t="s">
        <v>1844</v>
      </c>
      <c r="C67" s="45" t="s">
        <v>1845</v>
      </c>
      <c r="D67" s="44" t="s">
        <v>1414</v>
      </c>
      <c r="E67" s="44" t="s">
        <v>1460</v>
      </c>
      <c r="F67" s="51">
        <v>43223.780855474499</v>
      </c>
      <c r="G67" s="44" t="s">
        <v>1490</v>
      </c>
      <c r="H67" s="44" t="s">
        <v>1846</v>
      </c>
      <c r="I67" s="46" t="s">
        <v>1845</v>
      </c>
      <c r="J67" s="46" t="s">
        <v>1847</v>
      </c>
      <c r="K67" s="46" t="s">
        <v>1484</v>
      </c>
      <c r="L67" s="46" t="s">
        <v>1504</v>
      </c>
      <c r="M67" s="46" t="s">
        <v>1848</v>
      </c>
      <c r="N67" s="46" t="s">
        <v>1531</v>
      </c>
      <c r="O67" s="44" t="s">
        <v>1849</v>
      </c>
      <c r="P67" s="44"/>
      <c r="Q67" s="44" t="s">
        <v>1463</v>
      </c>
      <c r="R67" s="44" t="s">
        <v>1463</v>
      </c>
      <c r="S67" s="43"/>
      <c r="T67" s="51">
        <v>43577</v>
      </c>
    </row>
    <row r="68" spans="1:20">
      <c r="A68" s="47" t="s">
        <v>1850</v>
      </c>
      <c r="B68" s="47" t="s">
        <v>1851</v>
      </c>
      <c r="C68" s="48" t="s">
        <v>1852</v>
      </c>
      <c r="D68" s="47" t="s">
        <v>1419</v>
      </c>
      <c r="E68" s="47" t="s">
        <v>1460</v>
      </c>
      <c r="F68" s="49">
        <v>42885.911373460702</v>
      </c>
      <c r="G68" s="47" t="s">
        <v>1466</v>
      </c>
      <c r="H68" s="47" t="s">
        <v>1853</v>
      </c>
      <c r="I68" s="50" t="s">
        <v>1852</v>
      </c>
      <c r="J68" s="50" t="s">
        <v>1854</v>
      </c>
      <c r="K68" s="50" t="s">
        <v>1523</v>
      </c>
      <c r="L68" s="50" t="s">
        <v>1504</v>
      </c>
      <c r="M68" s="50" t="s">
        <v>1855</v>
      </c>
      <c r="N68" s="50" t="s">
        <v>1516</v>
      </c>
      <c r="O68" s="47" t="s">
        <v>1856</v>
      </c>
      <c r="P68" s="47"/>
      <c r="Q68" s="47" t="s">
        <v>1463</v>
      </c>
      <c r="R68" s="47" t="s">
        <v>1463</v>
      </c>
      <c r="S68" s="43"/>
      <c r="T68" s="49">
        <v>43055</v>
      </c>
    </row>
    <row r="69" spans="1:20" ht="26.45">
      <c r="A69" s="44" t="s">
        <v>1857</v>
      </c>
      <c r="B69" s="44" t="s">
        <v>1858</v>
      </c>
      <c r="C69" s="45" t="s">
        <v>1859</v>
      </c>
      <c r="D69" s="44" t="s">
        <v>1419</v>
      </c>
      <c r="E69" s="44" t="s">
        <v>1481</v>
      </c>
      <c r="F69" s="44"/>
      <c r="G69" s="44" t="s">
        <v>1466</v>
      </c>
      <c r="H69" s="44" t="s">
        <v>1860</v>
      </c>
      <c r="I69" s="46" t="s">
        <v>1859</v>
      </c>
      <c r="J69" s="46" t="s">
        <v>1861</v>
      </c>
      <c r="K69" s="46" t="s">
        <v>1503</v>
      </c>
      <c r="L69" s="46" t="s">
        <v>1474</v>
      </c>
      <c r="M69" s="46" t="s">
        <v>1862</v>
      </c>
      <c r="N69" s="46" t="s">
        <v>1476</v>
      </c>
      <c r="O69" s="44" t="s">
        <v>1863</v>
      </c>
      <c r="P69" s="44" t="s">
        <v>1864</v>
      </c>
      <c r="Q69" s="44" t="s">
        <v>1463</v>
      </c>
      <c r="R69" s="44" t="s">
        <v>1463</v>
      </c>
      <c r="S69" s="43"/>
      <c r="T69" s="51">
        <v>45393</v>
      </c>
    </row>
    <row r="70" spans="1:20" ht="26.45">
      <c r="A70" s="47" t="s">
        <v>556</v>
      </c>
      <c r="B70" s="47" t="s">
        <v>1865</v>
      </c>
      <c r="C70" s="48" t="s">
        <v>557</v>
      </c>
      <c r="D70" s="47" t="s">
        <v>1414</v>
      </c>
      <c r="E70" s="47" t="s">
        <v>1481</v>
      </c>
      <c r="F70" s="47"/>
      <c r="G70" s="47" t="s">
        <v>1466</v>
      </c>
      <c r="H70" s="47" t="s">
        <v>1866</v>
      </c>
      <c r="I70" s="50" t="s">
        <v>1867</v>
      </c>
      <c r="J70" s="50" t="s">
        <v>1868</v>
      </c>
      <c r="K70" s="50" t="s">
        <v>1484</v>
      </c>
      <c r="L70" s="50" t="s">
        <v>1504</v>
      </c>
      <c r="M70" s="50" t="s">
        <v>1869</v>
      </c>
      <c r="N70" s="50" t="s">
        <v>1629</v>
      </c>
      <c r="O70" s="47" t="s">
        <v>1870</v>
      </c>
      <c r="P70" s="47" t="s">
        <v>1871</v>
      </c>
      <c r="Q70" s="47" t="s">
        <v>1463</v>
      </c>
      <c r="R70" s="47" t="s">
        <v>1463</v>
      </c>
      <c r="S70" s="43"/>
      <c r="T70" s="49">
        <v>45527</v>
      </c>
    </row>
    <row r="71" spans="1:20" ht="26.45">
      <c r="A71" s="44" t="s">
        <v>558</v>
      </c>
      <c r="B71" s="44" t="s">
        <v>1872</v>
      </c>
      <c r="C71" s="45" t="s">
        <v>559</v>
      </c>
      <c r="D71" s="44" t="s">
        <v>1410</v>
      </c>
      <c r="E71" s="44" t="s">
        <v>1481</v>
      </c>
      <c r="F71" s="44"/>
      <c r="G71" s="44" t="s">
        <v>1466</v>
      </c>
      <c r="H71" s="44" t="s">
        <v>1873</v>
      </c>
      <c r="I71" s="46" t="s">
        <v>1867</v>
      </c>
      <c r="J71" s="46" t="s">
        <v>1874</v>
      </c>
      <c r="K71" s="46" t="s">
        <v>1742</v>
      </c>
      <c r="L71" s="46" t="s">
        <v>1504</v>
      </c>
      <c r="M71" s="46" t="s">
        <v>1875</v>
      </c>
      <c r="N71" s="46" t="s">
        <v>1476</v>
      </c>
      <c r="O71" s="44" t="s">
        <v>1876</v>
      </c>
      <c r="P71" s="44" t="s">
        <v>1877</v>
      </c>
      <c r="Q71" s="44" t="s">
        <v>1463</v>
      </c>
      <c r="R71" s="44" t="s">
        <v>1463</v>
      </c>
      <c r="S71" s="43"/>
      <c r="T71" s="51">
        <v>45527</v>
      </c>
    </row>
    <row r="72" spans="1:20" ht="26.45">
      <c r="A72" s="47" t="s">
        <v>560</v>
      </c>
      <c r="B72" s="47" t="s">
        <v>1878</v>
      </c>
      <c r="C72" s="48" t="s">
        <v>561</v>
      </c>
      <c r="D72" s="47" t="s">
        <v>1419</v>
      </c>
      <c r="E72" s="47" t="s">
        <v>1481</v>
      </c>
      <c r="F72" s="47"/>
      <c r="G72" s="47" t="s">
        <v>1466</v>
      </c>
      <c r="H72" s="47" t="s">
        <v>1879</v>
      </c>
      <c r="I72" s="50" t="s">
        <v>1880</v>
      </c>
      <c r="J72" s="50" t="s">
        <v>1881</v>
      </c>
      <c r="K72" s="50" t="s">
        <v>1493</v>
      </c>
      <c r="L72" s="50" t="s">
        <v>1504</v>
      </c>
      <c r="M72" s="50" t="s">
        <v>1882</v>
      </c>
      <c r="N72" s="50" t="s">
        <v>1525</v>
      </c>
      <c r="O72" s="47" t="s">
        <v>1883</v>
      </c>
      <c r="P72" s="47" t="s">
        <v>1884</v>
      </c>
      <c r="Q72" s="47" t="s">
        <v>1463</v>
      </c>
      <c r="R72" s="47" t="s">
        <v>1463</v>
      </c>
      <c r="S72" s="43"/>
      <c r="T72" s="49">
        <v>45532</v>
      </c>
    </row>
    <row r="73" spans="1:20" ht="26.45">
      <c r="A73" s="44" t="s">
        <v>562</v>
      </c>
      <c r="B73" s="44" t="s">
        <v>1885</v>
      </c>
      <c r="C73" s="45" t="s">
        <v>563</v>
      </c>
      <c r="D73" s="44" t="s">
        <v>1419</v>
      </c>
      <c r="E73" s="44" t="s">
        <v>1481</v>
      </c>
      <c r="F73" s="44"/>
      <c r="G73" s="44" t="s">
        <v>1466</v>
      </c>
      <c r="H73" s="44" t="s">
        <v>1886</v>
      </c>
      <c r="I73" s="46" t="s">
        <v>563</v>
      </c>
      <c r="J73" s="46" t="s">
        <v>1887</v>
      </c>
      <c r="K73" s="46" t="s">
        <v>1888</v>
      </c>
      <c r="L73" s="46" t="s">
        <v>1504</v>
      </c>
      <c r="M73" s="46" t="s">
        <v>1889</v>
      </c>
      <c r="N73" s="46" t="s">
        <v>1744</v>
      </c>
      <c r="O73" s="44" t="s">
        <v>1890</v>
      </c>
      <c r="P73" s="44" t="s">
        <v>1891</v>
      </c>
      <c r="Q73" s="44" t="s">
        <v>1463</v>
      </c>
      <c r="R73" s="44" t="s">
        <v>1463</v>
      </c>
      <c r="S73" s="43"/>
      <c r="T73" s="51">
        <v>45526</v>
      </c>
    </row>
    <row r="74" spans="1:20" ht="26.45">
      <c r="A74" s="47" t="s">
        <v>564</v>
      </c>
      <c r="B74" s="47" t="s">
        <v>1892</v>
      </c>
      <c r="C74" s="48" t="s">
        <v>565</v>
      </c>
      <c r="D74" s="47" t="s">
        <v>1419</v>
      </c>
      <c r="E74" s="47" t="s">
        <v>1481</v>
      </c>
      <c r="F74" s="47"/>
      <c r="G74" s="47" t="s">
        <v>1466</v>
      </c>
      <c r="H74" s="47" t="s">
        <v>1893</v>
      </c>
      <c r="I74" s="50" t="s">
        <v>1867</v>
      </c>
      <c r="J74" s="50" t="s">
        <v>1894</v>
      </c>
      <c r="K74" s="50" t="s">
        <v>1691</v>
      </c>
      <c r="L74" s="50" t="s">
        <v>1504</v>
      </c>
      <c r="M74" s="50" t="s">
        <v>1895</v>
      </c>
      <c r="N74" s="50" t="s">
        <v>1629</v>
      </c>
      <c r="O74" s="47" t="s">
        <v>1896</v>
      </c>
      <c r="P74" s="47" t="s">
        <v>1897</v>
      </c>
      <c r="Q74" s="47" t="s">
        <v>1463</v>
      </c>
      <c r="R74" s="47" t="s">
        <v>1463</v>
      </c>
      <c r="S74" s="43"/>
      <c r="T74" s="49">
        <v>45527</v>
      </c>
    </row>
    <row r="75" spans="1:20" ht="26.45">
      <c r="A75" s="44" t="s">
        <v>566</v>
      </c>
      <c r="B75" s="44" t="s">
        <v>1898</v>
      </c>
      <c r="C75" s="45" t="s">
        <v>567</v>
      </c>
      <c r="D75" s="44" t="s">
        <v>1419</v>
      </c>
      <c r="E75" s="44" t="s">
        <v>1481</v>
      </c>
      <c r="F75" s="44"/>
      <c r="G75" s="44" t="s">
        <v>1466</v>
      </c>
      <c r="H75" s="44" t="s">
        <v>1899</v>
      </c>
      <c r="I75" s="46" t="s">
        <v>1867</v>
      </c>
      <c r="J75" s="46" t="s">
        <v>1900</v>
      </c>
      <c r="K75" s="46" t="s">
        <v>1727</v>
      </c>
      <c r="L75" s="46" t="s">
        <v>1504</v>
      </c>
      <c r="M75" s="46" t="s">
        <v>1901</v>
      </c>
      <c r="N75" s="46" t="s">
        <v>1729</v>
      </c>
      <c r="O75" s="44" t="s">
        <v>1902</v>
      </c>
      <c r="P75" s="44" t="s">
        <v>1903</v>
      </c>
      <c r="Q75" s="44" t="s">
        <v>1463</v>
      </c>
      <c r="R75" s="44" t="s">
        <v>1463</v>
      </c>
      <c r="S75" s="43"/>
      <c r="T75" s="51">
        <v>45532</v>
      </c>
    </row>
    <row r="76" spans="1:20" ht="26.45">
      <c r="A76" s="47" t="s">
        <v>568</v>
      </c>
      <c r="B76" s="47" t="s">
        <v>1904</v>
      </c>
      <c r="C76" s="48" t="s">
        <v>569</v>
      </c>
      <c r="D76" s="47" t="s">
        <v>1419</v>
      </c>
      <c r="E76" s="47" t="s">
        <v>1481</v>
      </c>
      <c r="F76" s="47"/>
      <c r="G76" s="47" t="s">
        <v>1466</v>
      </c>
      <c r="H76" s="47" t="s">
        <v>1905</v>
      </c>
      <c r="I76" s="50" t="s">
        <v>1867</v>
      </c>
      <c r="J76" s="50" t="s">
        <v>1906</v>
      </c>
      <c r="K76" s="50" t="s">
        <v>1493</v>
      </c>
      <c r="L76" s="50" t="s">
        <v>1504</v>
      </c>
      <c r="M76" s="50" t="s">
        <v>1907</v>
      </c>
      <c r="N76" s="50" t="s">
        <v>1495</v>
      </c>
      <c r="O76" s="47" t="s">
        <v>1908</v>
      </c>
      <c r="P76" s="47" t="s">
        <v>1909</v>
      </c>
      <c r="Q76" s="47" t="s">
        <v>1463</v>
      </c>
      <c r="R76" s="47" t="s">
        <v>1463</v>
      </c>
      <c r="S76" s="43"/>
      <c r="T76" s="49">
        <v>45524</v>
      </c>
    </row>
    <row r="77" spans="1:20" ht="26.45">
      <c r="A77" s="44" t="s">
        <v>570</v>
      </c>
      <c r="B77" s="44" t="s">
        <v>1910</v>
      </c>
      <c r="C77" s="45" t="s">
        <v>571</v>
      </c>
      <c r="D77" s="44" t="s">
        <v>1419</v>
      </c>
      <c r="E77" s="44" t="s">
        <v>1481</v>
      </c>
      <c r="F77" s="44"/>
      <c r="G77" s="44" t="s">
        <v>1466</v>
      </c>
      <c r="H77" s="44" t="s">
        <v>1911</v>
      </c>
      <c r="I77" s="46" t="s">
        <v>1867</v>
      </c>
      <c r="J77" s="46" t="s">
        <v>1912</v>
      </c>
      <c r="K77" s="46" t="s">
        <v>1493</v>
      </c>
      <c r="L77" s="46" t="s">
        <v>1504</v>
      </c>
      <c r="M77" s="46" t="s">
        <v>1913</v>
      </c>
      <c r="N77" s="46" t="s">
        <v>1495</v>
      </c>
      <c r="O77" s="44" t="s">
        <v>1914</v>
      </c>
      <c r="P77" s="44" t="s">
        <v>1915</v>
      </c>
      <c r="Q77" s="44" t="s">
        <v>1463</v>
      </c>
      <c r="R77" s="44" t="s">
        <v>1463</v>
      </c>
      <c r="S77" s="43"/>
      <c r="T77" s="51">
        <v>45527</v>
      </c>
    </row>
    <row r="78" spans="1:20" ht="26.45">
      <c r="A78" s="47" t="s">
        <v>572</v>
      </c>
      <c r="B78" s="47" t="s">
        <v>1916</v>
      </c>
      <c r="C78" s="48" t="s">
        <v>573</v>
      </c>
      <c r="D78" s="47" t="s">
        <v>1419</v>
      </c>
      <c r="E78" s="47" t="s">
        <v>1481</v>
      </c>
      <c r="F78" s="47"/>
      <c r="G78" s="47" t="s">
        <v>1466</v>
      </c>
      <c r="H78" s="47" t="s">
        <v>1917</v>
      </c>
      <c r="I78" s="50" t="s">
        <v>1918</v>
      </c>
      <c r="J78" s="50" t="s">
        <v>1919</v>
      </c>
      <c r="K78" s="50" t="s">
        <v>1503</v>
      </c>
      <c r="L78" s="50" t="s">
        <v>1504</v>
      </c>
      <c r="M78" s="50" t="s">
        <v>1920</v>
      </c>
      <c r="N78" s="50" t="s">
        <v>1476</v>
      </c>
      <c r="O78" s="47" t="s">
        <v>1921</v>
      </c>
      <c r="P78" s="47" t="s">
        <v>1922</v>
      </c>
      <c r="Q78" s="47" t="s">
        <v>1463</v>
      </c>
      <c r="R78" s="47" t="s">
        <v>1463</v>
      </c>
      <c r="S78" s="43"/>
      <c r="T78" s="49">
        <v>45531</v>
      </c>
    </row>
    <row r="79" spans="1:20" ht="26.45">
      <c r="A79" s="44" t="s">
        <v>574</v>
      </c>
      <c r="B79" s="44" t="s">
        <v>1923</v>
      </c>
      <c r="C79" s="45" t="s">
        <v>575</v>
      </c>
      <c r="D79" s="44" t="s">
        <v>1419</v>
      </c>
      <c r="E79" s="44" t="s">
        <v>1481</v>
      </c>
      <c r="F79" s="44"/>
      <c r="G79" s="44" t="s">
        <v>1466</v>
      </c>
      <c r="H79" s="44" t="s">
        <v>1924</v>
      </c>
      <c r="I79" s="46" t="s">
        <v>1867</v>
      </c>
      <c r="J79" s="46" t="s">
        <v>1925</v>
      </c>
      <c r="K79" s="46" t="s">
        <v>1493</v>
      </c>
      <c r="L79" s="46" t="s">
        <v>1504</v>
      </c>
      <c r="M79" s="46" t="s">
        <v>1926</v>
      </c>
      <c r="N79" s="46" t="s">
        <v>1495</v>
      </c>
      <c r="O79" s="44" t="s">
        <v>1927</v>
      </c>
      <c r="P79" s="44" t="s">
        <v>1928</v>
      </c>
      <c r="Q79" s="44" t="s">
        <v>1463</v>
      </c>
      <c r="R79" s="44" t="s">
        <v>1463</v>
      </c>
      <c r="S79" s="43"/>
      <c r="T79" s="51">
        <v>45527</v>
      </c>
    </row>
    <row r="80" spans="1:20" ht="26.45">
      <c r="A80" s="47" t="s">
        <v>576</v>
      </c>
      <c r="B80" s="47" t="s">
        <v>1929</v>
      </c>
      <c r="C80" s="48" t="s">
        <v>577</v>
      </c>
      <c r="D80" s="47" t="s">
        <v>1419</v>
      </c>
      <c r="E80" s="47" t="s">
        <v>1481</v>
      </c>
      <c r="F80" s="47"/>
      <c r="G80" s="47" t="s">
        <v>1466</v>
      </c>
      <c r="H80" s="47" t="s">
        <v>1930</v>
      </c>
      <c r="I80" s="50" t="s">
        <v>1867</v>
      </c>
      <c r="J80" s="50" t="s">
        <v>1931</v>
      </c>
      <c r="K80" s="50" t="s">
        <v>1932</v>
      </c>
      <c r="L80" s="50" t="s">
        <v>1504</v>
      </c>
      <c r="M80" s="50" t="s">
        <v>1933</v>
      </c>
      <c r="N80" s="50" t="s">
        <v>1744</v>
      </c>
      <c r="O80" s="47" t="s">
        <v>1934</v>
      </c>
      <c r="P80" s="47" t="s">
        <v>1935</v>
      </c>
      <c r="Q80" s="47" t="s">
        <v>1463</v>
      </c>
      <c r="R80" s="47" t="s">
        <v>1463</v>
      </c>
      <c r="S80" s="43"/>
      <c r="T80" s="49">
        <v>45538</v>
      </c>
    </row>
    <row r="81" spans="1:20" ht="26.45">
      <c r="A81" s="44" t="s">
        <v>1936</v>
      </c>
      <c r="B81" s="44" t="s">
        <v>1937</v>
      </c>
      <c r="C81" s="45" t="s">
        <v>1938</v>
      </c>
      <c r="D81" s="44" t="s">
        <v>1419</v>
      </c>
      <c r="E81" s="44" t="s">
        <v>1481</v>
      </c>
      <c r="F81" s="44"/>
      <c r="G81" s="44" t="s">
        <v>1490</v>
      </c>
      <c r="H81" s="44" t="s">
        <v>1939</v>
      </c>
      <c r="I81" s="46" t="s">
        <v>1940</v>
      </c>
      <c r="J81" s="46" t="s">
        <v>1941</v>
      </c>
      <c r="K81" s="46" t="s">
        <v>1523</v>
      </c>
      <c r="L81" s="46" t="s">
        <v>1504</v>
      </c>
      <c r="M81" s="46" t="s">
        <v>1942</v>
      </c>
      <c r="N81" s="46" t="s">
        <v>1641</v>
      </c>
      <c r="O81" s="44"/>
      <c r="P81" s="44"/>
      <c r="Q81" s="44" t="s">
        <v>1463</v>
      </c>
      <c r="R81" s="44" t="s">
        <v>1463</v>
      </c>
      <c r="S81" s="43"/>
      <c r="T81" s="44"/>
    </row>
    <row r="82" spans="1:20" ht="26.45">
      <c r="A82" s="47" t="s">
        <v>1943</v>
      </c>
      <c r="B82" s="47" t="s">
        <v>1944</v>
      </c>
      <c r="C82" s="48" t="s">
        <v>1945</v>
      </c>
      <c r="D82" s="47" t="s">
        <v>1432</v>
      </c>
      <c r="E82" s="47" t="s">
        <v>1481</v>
      </c>
      <c r="F82" s="47"/>
      <c r="G82" s="47" t="s">
        <v>1687</v>
      </c>
      <c r="H82" s="47" t="s">
        <v>1946</v>
      </c>
      <c r="I82" s="50" t="s">
        <v>1945</v>
      </c>
      <c r="J82" s="50" t="s">
        <v>1947</v>
      </c>
      <c r="K82" s="50" t="s">
        <v>1948</v>
      </c>
      <c r="L82" s="50" t="s">
        <v>1474</v>
      </c>
      <c r="M82" s="50" t="s">
        <v>1949</v>
      </c>
      <c r="N82" s="50" t="s">
        <v>1641</v>
      </c>
      <c r="O82" s="47" t="s">
        <v>1950</v>
      </c>
      <c r="P82" s="47" t="s">
        <v>1951</v>
      </c>
      <c r="Q82" s="47" t="s">
        <v>1463</v>
      </c>
      <c r="R82" s="47" t="s">
        <v>1463</v>
      </c>
      <c r="S82" s="43"/>
      <c r="T82" s="49">
        <v>45345</v>
      </c>
    </row>
    <row r="83" spans="1:20" ht="26.45">
      <c r="A83" s="44" t="s">
        <v>1952</v>
      </c>
      <c r="B83" s="44" t="s">
        <v>1953</v>
      </c>
      <c r="C83" s="45" t="s">
        <v>1954</v>
      </c>
      <c r="D83" s="44" t="s">
        <v>1414</v>
      </c>
      <c r="E83" s="44" t="s">
        <v>1481</v>
      </c>
      <c r="F83" s="44"/>
      <c r="G83" s="44" t="s">
        <v>1663</v>
      </c>
      <c r="H83" s="44" t="s">
        <v>1955</v>
      </c>
      <c r="I83" s="46" t="s">
        <v>1954</v>
      </c>
      <c r="J83" s="46"/>
      <c r="K83" s="46"/>
      <c r="L83" s="46"/>
      <c r="M83" s="46"/>
      <c r="N83" s="46"/>
      <c r="O83" s="44" t="s">
        <v>1956</v>
      </c>
      <c r="P83" s="44"/>
      <c r="Q83" s="44" t="s">
        <v>1463</v>
      </c>
      <c r="R83" s="44" t="s">
        <v>1463</v>
      </c>
      <c r="S83" s="43"/>
      <c r="T83" s="44"/>
    </row>
    <row r="84" spans="1:20" ht="26.45">
      <c r="A84" s="47" t="s">
        <v>1957</v>
      </c>
      <c r="B84" s="47" t="s">
        <v>1958</v>
      </c>
      <c r="C84" s="48" t="s">
        <v>1959</v>
      </c>
      <c r="D84" s="47" t="s">
        <v>1434</v>
      </c>
      <c r="E84" s="47" t="s">
        <v>1481</v>
      </c>
      <c r="F84" s="47"/>
      <c r="G84" s="47" t="s">
        <v>1585</v>
      </c>
      <c r="H84" s="47"/>
      <c r="I84" s="50"/>
      <c r="J84" s="50"/>
      <c r="K84" s="50"/>
      <c r="L84" s="50"/>
      <c r="M84" s="50"/>
      <c r="N84" s="50"/>
      <c r="O84" s="47"/>
      <c r="P84" s="47"/>
      <c r="Q84" s="47" t="s">
        <v>1463</v>
      </c>
      <c r="R84" s="47" t="s">
        <v>1463</v>
      </c>
      <c r="S84" s="43"/>
      <c r="T84" s="47"/>
    </row>
    <row r="85" spans="1:20" ht="26.45">
      <c r="A85" s="44" t="s">
        <v>1960</v>
      </c>
      <c r="B85" s="44" t="s">
        <v>1961</v>
      </c>
      <c r="C85" s="45" t="s">
        <v>1962</v>
      </c>
      <c r="D85" s="44" t="s">
        <v>1419</v>
      </c>
      <c r="E85" s="44" t="s">
        <v>1460</v>
      </c>
      <c r="F85" s="51">
        <v>42440.9000143171</v>
      </c>
      <c r="G85" s="44" t="s">
        <v>1585</v>
      </c>
      <c r="H85" s="44"/>
      <c r="I85" s="46"/>
      <c r="J85" s="46"/>
      <c r="K85" s="46"/>
      <c r="L85" s="46"/>
      <c r="M85" s="46"/>
      <c r="N85" s="46"/>
      <c r="O85" s="44"/>
      <c r="P85" s="44"/>
      <c r="Q85" s="44" t="s">
        <v>1463</v>
      </c>
      <c r="R85" s="44" t="s">
        <v>1463</v>
      </c>
      <c r="S85" s="43"/>
      <c r="T85" s="44"/>
    </row>
    <row r="86" spans="1:20" ht="26.45">
      <c r="A86" s="47" t="s">
        <v>62</v>
      </c>
      <c r="B86" s="47" t="s">
        <v>1963</v>
      </c>
      <c r="C86" s="48" t="s">
        <v>578</v>
      </c>
      <c r="D86" s="47" t="s">
        <v>1419</v>
      </c>
      <c r="E86" s="47" t="s">
        <v>1481</v>
      </c>
      <c r="F86" s="47"/>
      <c r="G86" s="47" t="s">
        <v>1466</v>
      </c>
      <c r="H86" s="47" t="s">
        <v>1964</v>
      </c>
      <c r="I86" s="50" t="s">
        <v>1959</v>
      </c>
      <c r="J86" s="50" t="s">
        <v>1965</v>
      </c>
      <c r="K86" s="50" t="s">
        <v>1503</v>
      </c>
      <c r="L86" s="50" t="s">
        <v>1504</v>
      </c>
      <c r="M86" s="50" t="s">
        <v>1966</v>
      </c>
      <c r="N86" s="50" t="s">
        <v>1744</v>
      </c>
      <c r="O86" s="47" t="s">
        <v>1967</v>
      </c>
      <c r="P86" s="47" t="s">
        <v>1968</v>
      </c>
      <c r="Q86" s="47" t="s">
        <v>1463</v>
      </c>
      <c r="R86" s="47" t="s">
        <v>1463</v>
      </c>
      <c r="S86" s="43"/>
      <c r="T86" s="49">
        <v>45688</v>
      </c>
    </row>
    <row r="87" spans="1:20">
      <c r="A87" s="44" t="s">
        <v>1969</v>
      </c>
      <c r="B87" s="44" t="s">
        <v>1970</v>
      </c>
      <c r="C87" s="45" t="s">
        <v>1971</v>
      </c>
      <c r="D87" s="44" t="s">
        <v>1419</v>
      </c>
      <c r="E87" s="44" t="s">
        <v>1481</v>
      </c>
      <c r="F87" s="44"/>
      <c r="G87" s="44" t="s">
        <v>1466</v>
      </c>
      <c r="H87" s="44" t="s">
        <v>1972</v>
      </c>
      <c r="I87" s="46" t="s">
        <v>1973</v>
      </c>
      <c r="J87" s="46" t="s">
        <v>1974</v>
      </c>
      <c r="K87" s="46" t="s">
        <v>1975</v>
      </c>
      <c r="L87" s="46" t="s">
        <v>1474</v>
      </c>
      <c r="M87" s="46" t="s">
        <v>1976</v>
      </c>
      <c r="N87" s="46" t="s">
        <v>1476</v>
      </c>
      <c r="O87" s="44" t="s">
        <v>1977</v>
      </c>
      <c r="P87" s="44"/>
      <c r="Q87" s="44" t="s">
        <v>1463</v>
      </c>
      <c r="R87" s="44" t="s">
        <v>1463</v>
      </c>
      <c r="S87" s="43"/>
      <c r="T87" s="51">
        <v>45555</v>
      </c>
    </row>
    <row r="88" spans="1:20" ht="26.45">
      <c r="A88" s="47" t="s">
        <v>63</v>
      </c>
      <c r="B88" s="47" t="s">
        <v>1978</v>
      </c>
      <c r="C88" s="48" t="s">
        <v>579</v>
      </c>
      <c r="D88" s="47" t="s">
        <v>1414</v>
      </c>
      <c r="E88" s="47" t="s">
        <v>1481</v>
      </c>
      <c r="F88" s="47"/>
      <c r="G88" s="47" t="s">
        <v>1687</v>
      </c>
      <c r="H88" s="47" t="s">
        <v>1979</v>
      </c>
      <c r="I88" s="50" t="s">
        <v>1980</v>
      </c>
      <c r="J88" s="50" t="s">
        <v>1981</v>
      </c>
      <c r="K88" s="50" t="s">
        <v>1484</v>
      </c>
      <c r="L88" s="50" t="s">
        <v>1504</v>
      </c>
      <c r="M88" s="50" t="s">
        <v>1982</v>
      </c>
      <c r="N88" s="50" t="s">
        <v>1531</v>
      </c>
      <c r="O88" s="47" t="s">
        <v>1983</v>
      </c>
      <c r="P88" s="47" t="s">
        <v>1984</v>
      </c>
      <c r="Q88" s="47" t="s">
        <v>1695</v>
      </c>
      <c r="R88" s="47" t="s">
        <v>1463</v>
      </c>
      <c r="S88" s="43"/>
      <c r="T88" s="49">
        <v>45560</v>
      </c>
    </row>
    <row r="89" spans="1:20">
      <c r="A89" s="44" t="s">
        <v>1985</v>
      </c>
      <c r="B89" s="44"/>
      <c r="C89" s="45" t="s">
        <v>1986</v>
      </c>
      <c r="D89" s="44" t="s">
        <v>1420</v>
      </c>
      <c r="E89" s="44" t="s">
        <v>1460</v>
      </c>
      <c r="F89" s="51">
        <v>41474.645851157402</v>
      </c>
      <c r="G89" s="44" t="s">
        <v>1466</v>
      </c>
      <c r="H89" s="44"/>
      <c r="I89" s="46"/>
      <c r="J89" s="46"/>
      <c r="K89" s="46"/>
      <c r="L89" s="46"/>
      <c r="M89" s="46"/>
      <c r="N89" s="46"/>
      <c r="O89" s="44"/>
      <c r="P89" s="44"/>
      <c r="Q89" s="44" t="s">
        <v>1463</v>
      </c>
      <c r="R89" s="44" t="s">
        <v>1463</v>
      </c>
      <c r="S89" s="43"/>
      <c r="T89" s="44"/>
    </row>
    <row r="90" spans="1:20" ht="26.45">
      <c r="A90" s="47" t="s">
        <v>580</v>
      </c>
      <c r="B90" s="47" t="s">
        <v>1987</v>
      </c>
      <c r="C90" s="48" t="s">
        <v>581</v>
      </c>
      <c r="D90" s="47" t="s">
        <v>1425</v>
      </c>
      <c r="E90" s="47" t="s">
        <v>1481</v>
      </c>
      <c r="F90" s="47"/>
      <c r="G90" s="47" t="s">
        <v>1687</v>
      </c>
      <c r="H90" s="47" t="s">
        <v>1988</v>
      </c>
      <c r="I90" s="50" t="s">
        <v>1989</v>
      </c>
      <c r="J90" s="50" t="s">
        <v>1990</v>
      </c>
      <c r="K90" s="50" t="s">
        <v>1991</v>
      </c>
      <c r="L90" s="50" t="s">
        <v>1504</v>
      </c>
      <c r="M90" s="50" t="s">
        <v>1992</v>
      </c>
      <c r="N90" s="50" t="s">
        <v>1476</v>
      </c>
      <c r="O90" s="47" t="s">
        <v>1993</v>
      </c>
      <c r="P90" s="47" t="s">
        <v>1994</v>
      </c>
      <c r="Q90" s="47" t="s">
        <v>1695</v>
      </c>
      <c r="R90" s="47" t="s">
        <v>1463</v>
      </c>
      <c r="S90" s="43"/>
      <c r="T90" s="49">
        <v>45511</v>
      </c>
    </row>
    <row r="91" spans="1:20" ht="26.45">
      <c r="A91" s="44" t="s">
        <v>64</v>
      </c>
      <c r="B91" s="44" t="s">
        <v>1995</v>
      </c>
      <c r="C91" s="45" t="s">
        <v>582</v>
      </c>
      <c r="D91" s="44" t="s">
        <v>1419</v>
      </c>
      <c r="E91" s="44" t="s">
        <v>1481</v>
      </c>
      <c r="F91" s="44"/>
      <c r="G91" s="44" t="s">
        <v>1466</v>
      </c>
      <c r="H91" s="44" t="s">
        <v>1996</v>
      </c>
      <c r="I91" s="46" t="s">
        <v>582</v>
      </c>
      <c r="J91" s="46" t="s">
        <v>1997</v>
      </c>
      <c r="K91" s="46" t="s">
        <v>1493</v>
      </c>
      <c r="L91" s="46" t="s">
        <v>1474</v>
      </c>
      <c r="M91" s="46" t="s">
        <v>1998</v>
      </c>
      <c r="N91" s="46" t="s">
        <v>1729</v>
      </c>
      <c r="O91" s="44" t="s">
        <v>1999</v>
      </c>
      <c r="P91" s="44" t="s">
        <v>2000</v>
      </c>
      <c r="Q91" s="44" t="s">
        <v>1463</v>
      </c>
      <c r="R91" s="44" t="s">
        <v>1463</v>
      </c>
      <c r="S91" s="43"/>
      <c r="T91" s="51">
        <v>45621</v>
      </c>
    </row>
    <row r="92" spans="1:20">
      <c r="A92" s="47" t="s">
        <v>2001</v>
      </c>
      <c r="B92" s="47" t="s">
        <v>2002</v>
      </c>
      <c r="C92" s="48" t="s">
        <v>2003</v>
      </c>
      <c r="D92" s="47" t="s">
        <v>1424</v>
      </c>
      <c r="E92" s="47" t="s">
        <v>1481</v>
      </c>
      <c r="F92" s="47"/>
      <c r="G92" s="47" t="s">
        <v>1663</v>
      </c>
      <c r="H92" s="47" t="s">
        <v>2004</v>
      </c>
      <c r="I92" s="50" t="s">
        <v>2005</v>
      </c>
      <c r="J92" s="50" t="s">
        <v>2006</v>
      </c>
      <c r="K92" s="50" t="s">
        <v>2007</v>
      </c>
      <c r="L92" s="50" t="s">
        <v>1474</v>
      </c>
      <c r="M92" s="50" t="s">
        <v>2008</v>
      </c>
      <c r="N92" s="50" t="s">
        <v>1641</v>
      </c>
      <c r="O92" s="47" t="s">
        <v>2009</v>
      </c>
      <c r="P92" s="47"/>
      <c r="Q92" s="47" t="s">
        <v>1695</v>
      </c>
      <c r="R92" s="47" t="s">
        <v>1463</v>
      </c>
      <c r="S92" s="43"/>
      <c r="T92" s="49">
        <v>44473</v>
      </c>
    </row>
    <row r="93" spans="1:20">
      <c r="A93" s="44" t="s">
        <v>583</v>
      </c>
      <c r="B93" s="44" t="s">
        <v>2010</v>
      </c>
      <c r="C93" s="45" t="s">
        <v>584</v>
      </c>
      <c r="D93" s="44" t="s">
        <v>1424</v>
      </c>
      <c r="E93" s="44" t="s">
        <v>1481</v>
      </c>
      <c r="F93" s="44"/>
      <c r="G93" s="44" t="s">
        <v>1663</v>
      </c>
      <c r="H93" s="44" t="s">
        <v>2011</v>
      </c>
      <c r="I93" s="46" t="s">
        <v>2005</v>
      </c>
      <c r="J93" s="46" t="s">
        <v>2012</v>
      </c>
      <c r="K93" s="46" t="s">
        <v>2013</v>
      </c>
      <c r="L93" s="46" t="s">
        <v>1504</v>
      </c>
      <c r="M93" s="46" t="s">
        <v>2008</v>
      </c>
      <c r="N93" s="46" t="s">
        <v>1641</v>
      </c>
      <c r="O93" s="44" t="s">
        <v>2014</v>
      </c>
      <c r="P93" s="44"/>
      <c r="Q93" s="44" t="s">
        <v>1463</v>
      </c>
      <c r="R93" s="44" t="s">
        <v>1463</v>
      </c>
      <c r="S93" s="43"/>
      <c r="T93" s="51">
        <v>44473</v>
      </c>
    </row>
    <row r="94" spans="1:20" ht="26.45">
      <c r="A94" s="47" t="s">
        <v>65</v>
      </c>
      <c r="B94" s="47" t="s">
        <v>2015</v>
      </c>
      <c r="C94" s="48" t="s">
        <v>585</v>
      </c>
      <c r="D94" s="47" t="s">
        <v>1428</v>
      </c>
      <c r="E94" s="47" t="s">
        <v>1481</v>
      </c>
      <c r="F94" s="47"/>
      <c r="G94" s="47" t="s">
        <v>1687</v>
      </c>
      <c r="H94" s="47" t="s">
        <v>2016</v>
      </c>
      <c r="I94" s="50" t="s">
        <v>585</v>
      </c>
      <c r="J94" s="50" t="s">
        <v>2017</v>
      </c>
      <c r="K94" s="50" t="s">
        <v>2018</v>
      </c>
      <c r="L94" s="50" t="s">
        <v>1504</v>
      </c>
      <c r="M94" s="50" t="s">
        <v>2019</v>
      </c>
      <c r="N94" s="50" t="s">
        <v>1525</v>
      </c>
      <c r="O94" s="47" t="s">
        <v>2020</v>
      </c>
      <c r="P94" s="47" t="s">
        <v>2021</v>
      </c>
      <c r="Q94" s="47" t="s">
        <v>1695</v>
      </c>
      <c r="R94" s="47" t="s">
        <v>1463</v>
      </c>
      <c r="S94" s="43"/>
      <c r="T94" s="49">
        <v>45628</v>
      </c>
    </row>
    <row r="95" spans="1:20" ht="26.45">
      <c r="A95" s="44" t="s">
        <v>66</v>
      </c>
      <c r="B95" s="44" t="s">
        <v>2022</v>
      </c>
      <c r="C95" s="45" t="s">
        <v>586</v>
      </c>
      <c r="D95" s="44" t="s">
        <v>1410</v>
      </c>
      <c r="E95" s="44" t="s">
        <v>1481</v>
      </c>
      <c r="F95" s="44"/>
      <c r="G95" s="44" t="s">
        <v>1687</v>
      </c>
      <c r="H95" s="44" t="s">
        <v>2023</v>
      </c>
      <c r="I95" s="46" t="s">
        <v>2024</v>
      </c>
      <c r="J95" s="46" t="s">
        <v>2025</v>
      </c>
      <c r="K95" s="46" t="s">
        <v>1742</v>
      </c>
      <c r="L95" s="46" t="s">
        <v>1504</v>
      </c>
      <c r="M95" s="46" t="s">
        <v>2026</v>
      </c>
      <c r="N95" s="46" t="s">
        <v>1744</v>
      </c>
      <c r="O95" s="44" t="s">
        <v>2027</v>
      </c>
      <c r="P95" s="44" t="s">
        <v>2028</v>
      </c>
      <c r="Q95" s="44" t="s">
        <v>1695</v>
      </c>
      <c r="R95" s="44" t="s">
        <v>1463</v>
      </c>
      <c r="S95" s="43"/>
      <c r="T95" s="51">
        <v>45681</v>
      </c>
    </row>
    <row r="96" spans="1:20" ht="26.45">
      <c r="A96" s="47" t="s">
        <v>67</v>
      </c>
      <c r="B96" s="47" t="s">
        <v>2029</v>
      </c>
      <c r="C96" s="48" t="s">
        <v>587</v>
      </c>
      <c r="D96" s="47" t="s">
        <v>1414</v>
      </c>
      <c r="E96" s="47" t="s">
        <v>1481</v>
      </c>
      <c r="F96" s="47"/>
      <c r="G96" s="47" t="s">
        <v>1466</v>
      </c>
      <c r="H96" s="47" t="s">
        <v>2030</v>
      </c>
      <c r="I96" s="50" t="s">
        <v>587</v>
      </c>
      <c r="J96" s="50" t="s">
        <v>2031</v>
      </c>
      <c r="K96" s="50" t="s">
        <v>1484</v>
      </c>
      <c r="L96" s="50" t="s">
        <v>1504</v>
      </c>
      <c r="M96" s="50" t="s">
        <v>2032</v>
      </c>
      <c r="N96" s="50" t="s">
        <v>1629</v>
      </c>
      <c r="O96" s="47" t="s">
        <v>2033</v>
      </c>
      <c r="P96" s="47" t="s">
        <v>2034</v>
      </c>
      <c r="Q96" s="47" t="s">
        <v>1463</v>
      </c>
      <c r="R96" s="47" t="s">
        <v>1463</v>
      </c>
      <c r="S96" s="43"/>
      <c r="T96" s="49">
        <v>45664</v>
      </c>
    </row>
    <row r="97" spans="1:20" ht="26.45">
      <c r="A97" s="44" t="s">
        <v>68</v>
      </c>
      <c r="B97" s="44" t="s">
        <v>2035</v>
      </c>
      <c r="C97" s="45" t="s">
        <v>588</v>
      </c>
      <c r="D97" s="44" t="s">
        <v>1410</v>
      </c>
      <c r="E97" s="44" t="s">
        <v>1481</v>
      </c>
      <c r="F97" s="44"/>
      <c r="G97" s="44" t="s">
        <v>1466</v>
      </c>
      <c r="H97" s="44" t="s">
        <v>2036</v>
      </c>
      <c r="I97" s="46" t="s">
        <v>588</v>
      </c>
      <c r="J97" s="46" t="s">
        <v>2037</v>
      </c>
      <c r="K97" s="46" t="s">
        <v>1742</v>
      </c>
      <c r="L97" s="46" t="s">
        <v>1504</v>
      </c>
      <c r="M97" s="46" t="s">
        <v>2038</v>
      </c>
      <c r="N97" s="46" t="s">
        <v>1744</v>
      </c>
      <c r="O97" s="44" t="s">
        <v>2039</v>
      </c>
      <c r="P97" s="44" t="s">
        <v>2040</v>
      </c>
      <c r="Q97" s="44" t="s">
        <v>1463</v>
      </c>
      <c r="R97" s="44" t="s">
        <v>1463</v>
      </c>
      <c r="S97" s="43"/>
      <c r="T97" s="51">
        <v>45363</v>
      </c>
    </row>
    <row r="98" spans="1:20" ht="26.45">
      <c r="A98" s="47" t="s">
        <v>2041</v>
      </c>
      <c r="B98" s="47" t="s">
        <v>2042</v>
      </c>
      <c r="C98" s="48" t="s">
        <v>588</v>
      </c>
      <c r="D98" s="47" t="s">
        <v>1410</v>
      </c>
      <c r="E98" s="47" t="s">
        <v>1460</v>
      </c>
      <c r="F98" s="49">
        <v>42446.747377118103</v>
      </c>
      <c r="G98" s="47" t="s">
        <v>1585</v>
      </c>
      <c r="H98" s="47"/>
      <c r="I98" s="50" t="s">
        <v>588</v>
      </c>
      <c r="J98" s="50" t="s">
        <v>2043</v>
      </c>
      <c r="K98" s="50" t="s">
        <v>2044</v>
      </c>
      <c r="L98" s="50" t="s">
        <v>1504</v>
      </c>
      <c r="M98" s="50" t="s">
        <v>2045</v>
      </c>
      <c r="N98" s="50" t="s">
        <v>1476</v>
      </c>
      <c r="O98" s="47" t="s">
        <v>2039</v>
      </c>
      <c r="P98" s="47"/>
      <c r="Q98" s="47" t="s">
        <v>1463</v>
      </c>
      <c r="R98" s="47" t="s">
        <v>1463</v>
      </c>
      <c r="S98" s="43"/>
      <c r="T98" s="49">
        <v>42711</v>
      </c>
    </row>
    <row r="99" spans="1:20" ht="26.45">
      <c r="A99" s="44" t="s">
        <v>69</v>
      </c>
      <c r="B99" s="44" t="s">
        <v>2046</v>
      </c>
      <c r="C99" s="45" t="s">
        <v>589</v>
      </c>
      <c r="D99" s="44" t="s">
        <v>1419</v>
      </c>
      <c r="E99" s="44" t="s">
        <v>1481</v>
      </c>
      <c r="F99" s="44"/>
      <c r="G99" s="44" t="s">
        <v>1466</v>
      </c>
      <c r="H99" s="44" t="s">
        <v>2047</v>
      </c>
      <c r="I99" s="46" t="s">
        <v>589</v>
      </c>
      <c r="J99" s="46" t="s">
        <v>2048</v>
      </c>
      <c r="K99" s="46" t="s">
        <v>1888</v>
      </c>
      <c r="L99" s="46" t="s">
        <v>1474</v>
      </c>
      <c r="M99" s="46" t="s">
        <v>2049</v>
      </c>
      <c r="N99" s="46" t="s">
        <v>1744</v>
      </c>
      <c r="O99" s="44" t="s">
        <v>2050</v>
      </c>
      <c r="P99" s="44" t="s">
        <v>2051</v>
      </c>
      <c r="Q99" s="44" t="s">
        <v>1463</v>
      </c>
      <c r="R99" s="44" t="s">
        <v>1463</v>
      </c>
      <c r="S99" s="43"/>
      <c r="T99" s="51">
        <v>45363</v>
      </c>
    </row>
    <row r="100" spans="1:20" ht="26.45">
      <c r="A100" s="47" t="s">
        <v>70</v>
      </c>
      <c r="B100" s="47" t="s">
        <v>2052</v>
      </c>
      <c r="C100" s="48" t="s">
        <v>590</v>
      </c>
      <c r="D100" s="47" t="s">
        <v>1419</v>
      </c>
      <c r="E100" s="47" t="s">
        <v>1481</v>
      </c>
      <c r="F100" s="47"/>
      <c r="G100" s="47" t="s">
        <v>1466</v>
      </c>
      <c r="H100" s="47" t="s">
        <v>2053</v>
      </c>
      <c r="I100" s="50" t="s">
        <v>590</v>
      </c>
      <c r="J100" s="50" t="s">
        <v>2054</v>
      </c>
      <c r="K100" s="50" t="s">
        <v>1975</v>
      </c>
      <c r="L100" s="50" t="s">
        <v>1474</v>
      </c>
      <c r="M100" s="50" t="s">
        <v>2055</v>
      </c>
      <c r="N100" s="50" t="s">
        <v>1516</v>
      </c>
      <c r="O100" s="47" t="s">
        <v>2056</v>
      </c>
      <c r="P100" s="47" t="s">
        <v>2057</v>
      </c>
      <c r="Q100" s="47" t="s">
        <v>1463</v>
      </c>
      <c r="R100" s="47" t="s">
        <v>1463</v>
      </c>
      <c r="S100" s="43"/>
      <c r="T100" s="49">
        <v>45622</v>
      </c>
    </row>
    <row r="101" spans="1:20" ht="26.45">
      <c r="A101" s="44" t="s">
        <v>71</v>
      </c>
      <c r="B101" s="44" t="s">
        <v>2058</v>
      </c>
      <c r="C101" s="45" t="s">
        <v>591</v>
      </c>
      <c r="D101" s="44" t="s">
        <v>1419</v>
      </c>
      <c r="E101" s="44" t="s">
        <v>1481</v>
      </c>
      <c r="F101" s="44"/>
      <c r="G101" s="44" t="s">
        <v>1466</v>
      </c>
      <c r="H101" s="44" t="s">
        <v>2059</v>
      </c>
      <c r="I101" s="46" t="s">
        <v>591</v>
      </c>
      <c r="J101" s="46" t="s">
        <v>2060</v>
      </c>
      <c r="K101" s="46" t="s">
        <v>2061</v>
      </c>
      <c r="L101" s="46" t="s">
        <v>1474</v>
      </c>
      <c r="M101" s="46" t="s">
        <v>2062</v>
      </c>
      <c r="N101" s="46" t="s">
        <v>1641</v>
      </c>
      <c r="O101" s="44" t="s">
        <v>2063</v>
      </c>
      <c r="P101" s="44" t="s">
        <v>2064</v>
      </c>
      <c r="Q101" s="44" t="s">
        <v>1463</v>
      </c>
      <c r="R101" s="44" t="s">
        <v>1463</v>
      </c>
      <c r="S101" s="43"/>
      <c r="T101" s="51">
        <v>45621</v>
      </c>
    </row>
    <row r="102" spans="1:20" ht="26.45">
      <c r="A102" s="47" t="s">
        <v>72</v>
      </c>
      <c r="B102" s="47" t="s">
        <v>2065</v>
      </c>
      <c r="C102" s="48" t="s">
        <v>592</v>
      </c>
      <c r="D102" s="47" t="s">
        <v>1419</v>
      </c>
      <c r="E102" s="47" t="s">
        <v>1481</v>
      </c>
      <c r="F102" s="47"/>
      <c r="G102" s="47" t="s">
        <v>1466</v>
      </c>
      <c r="H102" s="47" t="s">
        <v>2066</v>
      </c>
      <c r="I102" s="50" t="s">
        <v>592</v>
      </c>
      <c r="J102" s="50" t="s">
        <v>2067</v>
      </c>
      <c r="K102" s="50" t="s">
        <v>1727</v>
      </c>
      <c r="L102" s="50" t="s">
        <v>1474</v>
      </c>
      <c r="M102" s="50" t="s">
        <v>2068</v>
      </c>
      <c r="N102" s="50" t="s">
        <v>1729</v>
      </c>
      <c r="O102" s="47" t="s">
        <v>2069</v>
      </c>
      <c r="P102" s="47" t="s">
        <v>2070</v>
      </c>
      <c r="Q102" s="47" t="s">
        <v>1463</v>
      </c>
      <c r="R102" s="47" t="s">
        <v>1463</v>
      </c>
      <c r="S102" s="43"/>
      <c r="T102" s="49">
        <v>45622</v>
      </c>
    </row>
    <row r="103" spans="1:20" ht="26.45">
      <c r="A103" s="44" t="s">
        <v>73</v>
      </c>
      <c r="B103" s="44" t="s">
        <v>2071</v>
      </c>
      <c r="C103" s="45" t="s">
        <v>593</v>
      </c>
      <c r="D103" s="44" t="s">
        <v>1419</v>
      </c>
      <c r="E103" s="44" t="s">
        <v>1481</v>
      </c>
      <c r="F103" s="44"/>
      <c r="G103" s="44" t="s">
        <v>1466</v>
      </c>
      <c r="H103" s="44" t="s">
        <v>2072</v>
      </c>
      <c r="I103" s="46" t="s">
        <v>593</v>
      </c>
      <c r="J103" s="46" t="s">
        <v>2073</v>
      </c>
      <c r="K103" s="46" t="s">
        <v>1975</v>
      </c>
      <c r="L103" s="46" t="s">
        <v>1474</v>
      </c>
      <c r="M103" s="46" t="s">
        <v>2074</v>
      </c>
      <c r="N103" s="46" t="s">
        <v>1476</v>
      </c>
      <c r="O103" s="44" t="s">
        <v>2075</v>
      </c>
      <c r="P103" s="44" t="s">
        <v>2076</v>
      </c>
      <c r="Q103" s="44" t="s">
        <v>1463</v>
      </c>
      <c r="R103" s="44" t="s">
        <v>1463</v>
      </c>
      <c r="S103" s="43"/>
      <c r="T103" s="51">
        <v>45621</v>
      </c>
    </row>
    <row r="104" spans="1:20" ht="26.45">
      <c r="A104" s="47" t="s">
        <v>74</v>
      </c>
      <c r="B104" s="47" t="s">
        <v>2077</v>
      </c>
      <c r="C104" s="48" t="s">
        <v>594</v>
      </c>
      <c r="D104" s="47" t="s">
        <v>1419</v>
      </c>
      <c r="E104" s="47" t="s">
        <v>1481</v>
      </c>
      <c r="F104" s="47"/>
      <c r="G104" s="47" t="s">
        <v>1466</v>
      </c>
      <c r="H104" s="47" t="s">
        <v>2078</v>
      </c>
      <c r="I104" s="50" t="s">
        <v>594</v>
      </c>
      <c r="J104" s="50" t="s">
        <v>2079</v>
      </c>
      <c r="K104" s="50" t="s">
        <v>1493</v>
      </c>
      <c r="L104" s="50" t="s">
        <v>1474</v>
      </c>
      <c r="M104" s="50" t="s">
        <v>2080</v>
      </c>
      <c r="N104" s="50" t="s">
        <v>1476</v>
      </c>
      <c r="O104" s="47" t="s">
        <v>2081</v>
      </c>
      <c r="P104" s="47" t="s">
        <v>2082</v>
      </c>
      <c r="Q104" s="47" t="s">
        <v>1463</v>
      </c>
      <c r="R104" s="47" t="s">
        <v>1463</v>
      </c>
      <c r="S104" s="43"/>
      <c r="T104" s="49">
        <v>45595</v>
      </c>
    </row>
    <row r="105" spans="1:20" ht="26.45">
      <c r="A105" s="44" t="s">
        <v>75</v>
      </c>
      <c r="B105" s="44" t="s">
        <v>2083</v>
      </c>
      <c r="C105" s="45" t="s">
        <v>595</v>
      </c>
      <c r="D105" s="44" t="s">
        <v>1419</v>
      </c>
      <c r="E105" s="44" t="s">
        <v>1481</v>
      </c>
      <c r="F105" s="44"/>
      <c r="G105" s="44" t="s">
        <v>1466</v>
      </c>
      <c r="H105" s="44" t="s">
        <v>2084</v>
      </c>
      <c r="I105" s="46" t="s">
        <v>595</v>
      </c>
      <c r="J105" s="46" t="s">
        <v>2085</v>
      </c>
      <c r="K105" s="46" t="s">
        <v>2061</v>
      </c>
      <c r="L105" s="46" t="s">
        <v>1474</v>
      </c>
      <c r="M105" s="46" t="s">
        <v>2086</v>
      </c>
      <c r="N105" s="46" t="s">
        <v>1641</v>
      </c>
      <c r="O105" s="44" t="s">
        <v>2087</v>
      </c>
      <c r="P105" s="44" t="s">
        <v>2088</v>
      </c>
      <c r="Q105" s="44" t="s">
        <v>1463</v>
      </c>
      <c r="R105" s="44" t="s">
        <v>1463</v>
      </c>
      <c r="S105" s="43"/>
      <c r="T105" s="51">
        <v>45621</v>
      </c>
    </row>
    <row r="106" spans="1:20" ht="26.45">
      <c r="A106" s="47" t="s">
        <v>76</v>
      </c>
      <c r="B106" s="47" t="s">
        <v>2089</v>
      </c>
      <c r="C106" s="48" t="s">
        <v>596</v>
      </c>
      <c r="D106" s="47" t="s">
        <v>1419</v>
      </c>
      <c r="E106" s="47" t="s">
        <v>1481</v>
      </c>
      <c r="F106" s="47"/>
      <c r="G106" s="47" t="s">
        <v>1466</v>
      </c>
      <c r="H106" s="47" t="s">
        <v>2090</v>
      </c>
      <c r="I106" s="50" t="s">
        <v>596</v>
      </c>
      <c r="J106" s="50" t="s">
        <v>2091</v>
      </c>
      <c r="K106" s="50" t="s">
        <v>1493</v>
      </c>
      <c r="L106" s="50" t="s">
        <v>1474</v>
      </c>
      <c r="M106" s="50" t="s">
        <v>2092</v>
      </c>
      <c r="N106" s="50" t="s">
        <v>1476</v>
      </c>
      <c r="O106" s="47"/>
      <c r="P106" s="47" t="s">
        <v>2093</v>
      </c>
      <c r="Q106" s="47" t="s">
        <v>1463</v>
      </c>
      <c r="R106" s="47" t="s">
        <v>1463</v>
      </c>
      <c r="S106" s="43"/>
      <c r="T106" s="49">
        <v>45628</v>
      </c>
    </row>
    <row r="107" spans="1:20" ht="26.45">
      <c r="A107" s="44" t="s">
        <v>77</v>
      </c>
      <c r="B107" s="44" t="s">
        <v>2094</v>
      </c>
      <c r="C107" s="45" t="s">
        <v>596</v>
      </c>
      <c r="D107" s="44" t="s">
        <v>1419</v>
      </c>
      <c r="E107" s="44" t="s">
        <v>1481</v>
      </c>
      <c r="F107" s="44"/>
      <c r="G107" s="44" t="s">
        <v>1466</v>
      </c>
      <c r="H107" s="44" t="s">
        <v>2095</v>
      </c>
      <c r="I107" s="46" t="s">
        <v>596</v>
      </c>
      <c r="J107" s="46" t="s">
        <v>2096</v>
      </c>
      <c r="K107" s="46" t="s">
        <v>2097</v>
      </c>
      <c r="L107" s="46" t="s">
        <v>1474</v>
      </c>
      <c r="M107" s="46" t="s">
        <v>2098</v>
      </c>
      <c r="N107" s="46" t="s">
        <v>1729</v>
      </c>
      <c r="O107" s="44" t="s">
        <v>2099</v>
      </c>
      <c r="P107" s="44" t="s">
        <v>2093</v>
      </c>
      <c r="Q107" s="44" t="s">
        <v>1463</v>
      </c>
      <c r="R107" s="44" t="s">
        <v>1463</v>
      </c>
      <c r="S107" s="43"/>
      <c r="T107" s="51">
        <v>45628</v>
      </c>
    </row>
    <row r="108" spans="1:20" ht="26.45">
      <c r="A108" s="47" t="s">
        <v>78</v>
      </c>
      <c r="B108" s="47" t="s">
        <v>2100</v>
      </c>
      <c r="C108" s="48" t="s">
        <v>597</v>
      </c>
      <c r="D108" s="47" t="s">
        <v>1419</v>
      </c>
      <c r="E108" s="47" t="s">
        <v>1481</v>
      </c>
      <c r="F108" s="47"/>
      <c r="G108" s="47" t="s">
        <v>1466</v>
      </c>
      <c r="H108" s="47" t="s">
        <v>2101</v>
      </c>
      <c r="I108" s="50" t="s">
        <v>597</v>
      </c>
      <c r="J108" s="50" t="s">
        <v>2102</v>
      </c>
      <c r="K108" s="50" t="s">
        <v>1493</v>
      </c>
      <c r="L108" s="50" t="s">
        <v>1474</v>
      </c>
      <c r="M108" s="50" t="s">
        <v>2103</v>
      </c>
      <c r="N108" s="50" t="s">
        <v>1516</v>
      </c>
      <c r="O108" s="47" t="s">
        <v>2104</v>
      </c>
      <c r="P108" s="47" t="s">
        <v>2105</v>
      </c>
      <c r="Q108" s="47" t="s">
        <v>1463</v>
      </c>
      <c r="R108" s="47" t="s">
        <v>1463</v>
      </c>
      <c r="S108" s="43"/>
      <c r="T108" s="49">
        <v>45621</v>
      </c>
    </row>
    <row r="109" spans="1:20" ht="26.45">
      <c r="A109" s="44" t="s">
        <v>2106</v>
      </c>
      <c r="B109" s="44" t="s">
        <v>2107</v>
      </c>
      <c r="C109" s="45" t="s">
        <v>2108</v>
      </c>
      <c r="D109" s="44" t="s">
        <v>1425</v>
      </c>
      <c r="E109" s="44" t="s">
        <v>1481</v>
      </c>
      <c r="F109" s="44"/>
      <c r="G109" s="44" t="s">
        <v>1490</v>
      </c>
      <c r="H109" s="44" t="s">
        <v>2109</v>
      </c>
      <c r="I109" s="46" t="s">
        <v>2110</v>
      </c>
      <c r="J109" s="46" t="s">
        <v>2111</v>
      </c>
      <c r="K109" s="46" t="s">
        <v>2112</v>
      </c>
      <c r="L109" s="46" t="s">
        <v>1504</v>
      </c>
      <c r="M109" s="46" t="s">
        <v>2113</v>
      </c>
      <c r="N109" s="46" t="s">
        <v>1495</v>
      </c>
      <c r="O109" s="44" t="s">
        <v>2114</v>
      </c>
      <c r="P109" s="44"/>
      <c r="Q109" s="44" t="s">
        <v>1463</v>
      </c>
      <c r="R109" s="44" t="s">
        <v>1463</v>
      </c>
      <c r="S109" s="43"/>
      <c r="T109" s="51">
        <v>45416</v>
      </c>
    </row>
    <row r="110" spans="1:20" ht="26.45">
      <c r="A110" s="47" t="s">
        <v>598</v>
      </c>
      <c r="B110" s="47" t="s">
        <v>2115</v>
      </c>
      <c r="C110" s="48" t="s">
        <v>599</v>
      </c>
      <c r="D110" s="47" t="s">
        <v>1419</v>
      </c>
      <c r="E110" s="47" t="s">
        <v>1481</v>
      </c>
      <c r="F110" s="47"/>
      <c r="G110" s="47" t="s">
        <v>1466</v>
      </c>
      <c r="H110" s="47" t="s">
        <v>2116</v>
      </c>
      <c r="I110" s="50" t="s">
        <v>599</v>
      </c>
      <c r="J110" s="50" t="s">
        <v>2048</v>
      </c>
      <c r="K110" s="50" t="s">
        <v>1888</v>
      </c>
      <c r="L110" s="50" t="s">
        <v>2117</v>
      </c>
      <c r="M110" s="50" t="s">
        <v>2118</v>
      </c>
      <c r="N110" s="50" t="s">
        <v>1744</v>
      </c>
      <c r="O110" s="47" t="s">
        <v>2119</v>
      </c>
      <c r="P110" s="47" t="s">
        <v>2120</v>
      </c>
      <c r="Q110" s="47" t="s">
        <v>1463</v>
      </c>
      <c r="R110" s="47" t="s">
        <v>1463</v>
      </c>
      <c r="S110" s="43"/>
      <c r="T110" s="49">
        <v>45595</v>
      </c>
    </row>
    <row r="111" spans="1:20">
      <c r="A111" s="44" t="s">
        <v>2121</v>
      </c>
      <c r="B111" s="44" t="s">
        <v>2122</v>
      </c>
      <c r="C111" s="45" t="s">
        <v>2123</v>
      </c>
      <c r="D111" s="44" t="s">
        <v>1414</v>
      </c>
      <c r="E111" s="44" t="s">
        <v>1481</v>
      </c>
      <c r="F111" s="44"/>
      <c r="G111" s="44" t="s">
        <v>1466</v>
      </c>
      <c r="H111" s="44"/>
      <c r="I111" s="46" t="s">
        <v>2123</v>
      </c>
      <c r="J111" s="46"/>
      <c r="K111" s="46"/>
      <c r="L111" s="46"/>
      <c r="M111" s="46"/>
      <c r="N111" s="46"/>
      <c r="O111" s="44" t="s">
        <v>2124</v>
      </c>
      <c r="P111" s="44"/>
      <c r="Q111" s="44" t="s">
        <v>1463</v>
      </c>
      <c r="R111" s="44" t="s">
        <v>1463</v>
      </c>
      <c r="S111" s="43"/>
      <c r="T111" s="44"/>
    </row>
    <row r="112" spans="1:20" ht="26.45">
      <c r="A112" s="47" t="s">
        <v>2125</v>
      </c>
      <c r="B112" s="47" t="s">
        <v>2126</v>
      </c>
      <c r="C112" s="48" t="s">
        <v>2127</v>
      </c>
      <c r="D112" s="47" t="s">
        <v>1419</v>
      </c>
      <c r="E112" s="47" t="s">
        <v>1460</v>
      </c>
      <c r="F112" s="49">
        <v>43215.721210451396</v>
      </c>
      <c r="G112" s="47" t="s">
        <v>1466</v>
      </c>
      <c r="H112" s="47" t="s">
        <v>2128</v>
      </c>
      <c r="I112" s="50" t="s">
        <v>2129</v>
      </c>
      <c r="J112" s="50" t="s">
        <v>2130</v>
      </c>
      <c r="K112" s="50" t="s">
        <v>1493</v>
      </c>
      <c r="L112" s="50" t="s">
        <v>1474</v>
      </c>
      <c r="M112" s="50" t="s">
        <v>2131</v>
      </c>
      <c r="N112" s="50" t="s">
        <v>1516</v>
      </c>
      <c r="O112" s="47" t="s">
        <v>2132</v>
      </c>
      <c r="P112" s="47"/>
      <c r="Q112" s="47" t="s">
        <v>1463</v>
      </c>
      <c r="R112" s="47" t="s">
        <v>1463</v>
      </c>
      <c r="S112" s="43"/>
      <c r="T112" s="49">
        <v>43552</v>
      </c>
    </row>
    <row r="113" spans="1:20" ht="26.45">
      <c r="A113" s="44" t="s">
        <v>600</v>
      </c>
      <c r="B113" s="44" t="s">
        <v>2133</v>
      </c>
      <c r="C113" s="45" t="s">
        <v>601</v>
      </c>
      <c r="D113" s="44" t="s">
        <v>1419</v>
      </c>
      <c r="E113" s="44" t="s">
        <v>1481</v>
      </c>
      <c r="F113" s="44"/>
      <c r="G113" s="44" t="s">
        <v>1466</v>
      </c>
      <c r="H113" s="44" t="s">
        <v>2134</v>
      </c>
      <c r="I113" s="46" t="s">
        <v>2135</v>
      </c>
      <c r="J113" s="46" t="s">
        <v>2136</v>
      </c>
      <c r="K113" s="46" t="s">
        <v>1493</v>
      </c>
      <c r="L113" s="46" t="s">
        <v>1504</v>
      </c>
      <c r="M113" s="46" t="s">
        <v>2137</v>
      </c>
      <c r="N113" s="46" t="s">
        <v>1629</v>
      </c>
      <c r="O113" s="44" t="s">
        <v>2138</v>
      </c>
      <c r="P113" s="44" t="s">
        <v>2139</v>
      </c>
      <c r="Q113" s="44" t="s">
        <v>1463</v>
      </c>
      <c r="R113" s="44" t="s">
        <v>1463</v>
      </c>
      <c r="S113" s="43"/>
      <c r="T113" s="51">
        <v>45672</v>
      </c>
    </row>
    <row r="114" spans="1:20">
      <c r="A114" s="47" t="s">
        <v>2140</v>
      </c>
      <c r="B114" s="47" t="s">
        <v>2141</v>
      </c>
      <c r="C114" s="48" t="s">
        <v>603</v>
      </c>
      <c r="D114" s="47" t="s">
        <v>1419</v>
      </c>
      <c r="E114" s="47" t="s">
        <v>1460</v>
      </c>
      <c r="F114" s="49">
        <v>44454.806449652802</v>
      </c>
      <c r="G114" s="47" t="s">
        <v>1466</v>
      </c>
      <c r="H114" s="47" t="s">
        <v>2142</v>
      </c>
      <c r="I114" s="50" t="s">
        <v>601</v>
      </c>
      <c r="J114" s="50" t="s">
        <v>2143</v>
      </c>
      <c r="K114" s="50" t="s">
        <v>1493</v>
      </c>
      <c r="L114" s="50" t="s">
        <v>1504</v>
      </c>
      <c r="M114" s="50" t="s">
        <v>2144</v>
      </c>
      <c r="N114" s="50" t="s">
        <v>1516</v>
      </c>
      <c r="O114" s="47" t="s">
        <v>2138</v>
      </c>
      <c r="P114" s="47"/>
      <c r="Q114" s="47" t="s">
        <v>1463</v>
      </c>
      <c r="R114" s="47" t="s">
        <v>1463</v>
      </c>
      <c r="S114" s="43"/>
      <c r="T114" s="49">
        <v>44639</v>
      </c>
    </row>
    <row r="115" spans="1:20" ht="26.45">
      <c r="A115" s="44" t="s">
        <v>602</v>
      </c>
      <c r="B115" s="44" t="s">
        <v>2145</v>
      </c>
      <c r="C115" s="45" t="s">
        <v>603</v>
      </c>
      <c r="D115" s="44" t="s">
        <v>1419</v>
      </c>
      <c r="E115" s="44" t="s">
        <v>1481</v>
      </c>
      <c r="F115" s="44"/>
      <c r="G115" s="44" t="s">
        <v>1466</v>
      </c>
      <c r="H115" s="44" t="s">
        <v>2146</v>
      </c>
      <c r="I115" s="46" t="s">
        <v>2135</v>
      </c>
      <c r="J115" s="46" t="s">
        <v>2136</v>
      </c>
      <c r="K115" s="46" t="s">
        <v>1493</v>
      </c>
      <c r="L115" s="46" t="s">
        <v>1504</v>
      </c>
      <c r="M115" s="46" t="s">
        <v>2137</v>
      </c>
      <c r="N115" s="46" t="s">
        <v>1629</v>
      </c>
      <c r="O115" s="44" t="s">
        <v>2138</v>
      </c>
      <c r="P115" s="44" t="s">
        <v>2139</v>
      </c>
      <c r="Q115" s="44" t="s">
        <v>1463</v>
      </c>
      <c r="R115" s="44" t="s">
        <v>1463</v>
      </c>
      <c r="S115" s="43"/>
      <c r="T115" s="51">
        <v>45672</v>
      </c>
    </row>
    <row r="116" spans="1:20" ht="26.45">
      <c r="A116" s="47" t="s">
        <v>604</v>
      </c>
      <c r="B116" s="47" t="s">
        <v>2147</v>
      </c>
      <c r="C116" s="48" t="s">
        <v>603</v>
      </c>
      <c r="D116" s="47" t="s">
        <v>1419</v>
      </c>
      <c r="E116" s="47" t="s">
        <v>1481</v>
      </c>
      <c r="F116" s="47"/>
      <c r="G116" s="47" t="s">
        <v>1466</v>
      </c>
      <c r="H116" s="47" t="s">
        <v>2148</v>
      </c>
      <c r="I116" s="50" t="s">
        <v>2135</v>
      </c>
      <c r="J116" s="50" t="s">
        <v>2136</v>
      </c>
      <c r="K116" s="50" t="s">
        <v>1493</v>
      </c>
      <c r="L116" s="50" t="s">
        <v>1504</v>
      </c>
      <c r="M116" s="50" t="s">
        <v>2137</v>
      </c>
      <c r="N116" s="50" t="s">
        <v>1629</v>
      </c>
      <c r="O116" s="47" t="s">
        <v>2138</v>
      </c>
      <c r="P116" s="47" t="s">
        <v>2139</v>
      </c>
      <c r="Q116" s="47" t="s">
        <v>1463</v>
      </c>
      <c r="R116" s="47" t="s">
        <v>1463</v>
      </c>
      <c r="S116" s="43"/>
      <c r="T116" s="49">
        <v>45672</v>
      </c>
    </row>
    <row r="117" spans="1:20" ht="26.45">
      <c r="A117" s="44" t="s">
        <v>606</v>
      </c>
      <c r="B117" s="44" t="s">
        <v>2149</v>
      </c>
      <c r="C117" s="45" t="s">
        <v>603</v>
      </c>
      <c r="D117" s="44" t="s">
        <v>1419</v>
      </c>
      <c r="E117" s="44" t="s">
        <v>1481</v>
      </c>
      <c r="F117" s="44"/>
      <c r="G117" s="44" t="s">
        <v>1466</v>
      </c>
      <c r="H117" s="44" t="s">
        <v>2150</v>
      </c>
      <c r="I117" s="46" t="s">
        <v>2135</v>
      </c>
      <c r="J117" s="46" t="s">
        <v>2136</v>
      </c>
      <c r="K117" s="46" t="s">
        <v>1493</v>
      </c>
      <c r="L117" s="46" t="s">
        <v>1504</v>
      </c>
      <c r="M117" s="46" t="s">
        <v>2137</v>
      </c>
      <c r="N117" s="46" t="s">
        <v>1629</v>
      </c>
      <c r="O117" s="44" t="s">
        <v>2138</v>
      </c>
      <c r="P117" s="44" t="s">
        <v>2139</v>
      </c>
      <c r="Q117" s="44" t="s">
        <v>1463</v>
      </c>
      <c r="R117" s="44" t="s">
        <v>1463</v>
      </c>
      <c r="S117" s="43"/>
      <c r="T117" s="51">
        <v>45672</v>
      </c>
    </row>
    <row r="118" spans="1:20" ht="26.45">
      <c r="A118" s="47" t="s">
        <v>605</v>
      </c>
      <c r="B118" s="47" t="s">
        <v>2151</v>
      </c>
      <c r="C118" s="48" t="s">
        <v>603</v>
      </c>
      <c r="D118" s="47" t="s">
        <v>1420</v>
      </c>
      <c r="E118" s="47" t="s">
        <v>1481</v>
      </c>
      <c r="F118" s="47"/>
      <c r="G118" s="47" t="s">
        <v>1466</v>
      </c>
      <c r="H118" s="47" t="s">
        <v>2152</v>
      </c>
      <c r="I118" s="50" t="s">
        <v>2135</v>
      </c>
      <c r="J118" s="50" t="s">
        <v>2136</v>
      </c>
      <c r="K118" s="50" t="s">
        <v>1493</v>
      </c>
      <c r="L118" s="50" t="s">
        <v>1504</v>
      </c>
      <c r="M118" s="50" t="s">
        <v>2137</v>
      </c>
      <c r="N118" s="50" t="s">
        <v>1629</v>
      </c>
      <c r="O118" s="47" t="s">
        <v>2138</v>
      </c>
      <c r="P118" s="47" t="s">
        <v>2139</v>
      </c>
      <c r="Q118" s="47" t="s">
        <v>1463</v>
      </c>
      <c r="R118" s="47" t="s">
        <v>1463</v>
      </c>
      <c r="S118" s="43"/>
      <c r="T118" s="49">
        <v>45672</v>
      </c>
    </row>
    <row r="119" spans="1:20">
      <c r="A119" s="44" t="s">
        <v>2153</v>
      </c>
      <c r="B119" s="44" t="s">
        <v>2154</v>
      </c>
      <c r="C119" s="45" t="s">
        <v>2155</v>
      </c>
      <c r="D119" s="44" t="s">
        <v>1420</v>
      </c>
      <c r="E119" s="44" t="s">
        <v>1481</v>
      </c>
      <c r="F119" s="44"/>
      <c r="G119" s="44" t="s">
        <v>1663</v>
      </c>
      <c r="H119" s="44" t="s">
        <v>2156</v>
      </c>
      <c r="I119" s="46" t="s">
        <v>2155</v>
      </c>
      <c r="J119" s="46"/>
      <c r="K119" s="46"/>
      <c r="L119" s="46"/>
      <c r="M119" s="46"/>
      <c r="N119" s="46"/>
      <c r="O119" s="44" t="s">
        <v>2138</v>
      </c>
      <c r="P119" s="44"/>
      <c r="Q119" s="44" t="s">
        <v>1463</v>
      </c>
      <c r="R119" s="44" t="s">
        <v>1463</v>
      </c>
      <c r="S119" s="43"/>
      <c r="T119" s="44"/>
    </row>
    <row r="120" spans="1:20" ht="26.45">
      <c r="A120" s="47" t="s">
        <v>79</v>
      </c>
      <c r="B120" s="47" t="s">
        <v>2157</v>
      </c>
      <c r="C120" s="48" t="s">
        <v>607</v>
      </c>
      <c r="D120" s="47" t="s">
        <v>1419</v>
      </c>
      <c r="E120" s="47" t="s">
        <v>1481</v>
      </c>
      <c r="F120" s="47"/>
      <c r="G120" s="47" t="s">
        <v>1466</v>
      </c>
      <c r="H120" s="47" t="s">
        <v>2158</v>
      </c>
      <c r="I120" s="50" t="s">
        <v>607</v>
      </c>
      <c r="J120" s="50" t="s">
        <v>2159</v>
      </c>
      <c r="K120" s="50" t="s">
        <v>1493</v>
      </c>
      <c r="L120" s="50" t="s">
        <v>1474</v>
      </c>
      <c r="M120" s="50" t="s">
        <v>2160</v>
      </c>
      <c r="N120" s="50" t="s">
        <v>1629</v>
      </c>
      <c r="O120" s="47" t="s">
        <v>2161</v>
      </c>
      <c r="P120" s="47" t="s">
        <v>2162</v>
      </c>
      <c r="Q120" s="47" t="s">
        <v>1463</v>
      </c>
      <c r="R120" s="47" t="s">
        <v>1463</v>
      </c>
      <c r="S120" s="43"/>
      <c r="T120" s="49">
        <v>45503</v>
      </c>
    </row>
    <row r="121" spans="1:20" ht="26.45">
      <c r="A121" s="44" t="s">
        <v>2163</v>
      </c>
      <c r="B121" s="44"/>
      <c r="C121" s="45" t="s">
        <v>607</v>
      </c>
      <c r="D121" s="44" t="s">
        <v>1419</v>
      </c>
      <c r="E121" s="44" t="s">
        <v>1460</v>
      </c>
      <c r="F121" s="51">
        <v>42689.9626621528</v>
      </c>
      <c r="G121" s="44" t="s">
        <v>1585</v>
      </c>
      <c r="H121" s="44"/>
      <c r="I121" s="46" t="s">
        <v>607</v>
      </c>
      <c r="J121" s="46" t="s">
        <v>2164</v>
      </c>
      <c r="K121" s="46" t="s">
        <v>2165</v>
      </c>
      <c r="L121" s="46" t="s">
        <v>1504</v>
      </c>
      <c r="M121" s="46" t="s">
        <v>2166</v>
      </c>
      <c r="N121" s="46" t="s">
        <v>1516</v>
      </c>
      <c r="O121" s="44" t="s">
        <v>2161</v>
      </c>
      <c r="P121" s="44"/>
      <c r="Q121" s="44" t="s">
        <v>1463</v>
      </c>
      <c r="R121" s="44" t="s">
        <v>1463</v>
      </c>
      <c r="S121" s="43"/>
      <c r="T121" s="51">
        <v>42870</v>
      </c>
    </row>
    <row r="122" spans="1:20" ht="26.45">
      <c r="A122" s="47" t="s">
        <v>2167</v>
      </c>
      <c r="B122" s="47" t="s">
        <v>2168</v>
      </c>
      <c r="C122" s="48" t="s">
        <v>2169</v>
      </c>
      <c r="D122" s="47" t="s">
        <v>1419</v>
      </c>
      <c r="E122" s="47" t="s">
        <v>1481</v>
      </c>
      <c r="F122" s="47"/>
      <c r="G122" s="47" t="s">
        <v>1663</v>
      </c>
      <c r="H122" s="47" t="s">
        <v>2170</v>
      </c>
      <c r="I122" s="50" t="s">
        <v>2169</v>
      </c>
      <c r="J122" s="50" t="s">
        <v>2171</v>
      </c>
      <c r="K122" s="50" t="s">
        <v>1523</v>
      </c>
      <c r="L122" s="50" t="s">
        <v>1504</v>
      </c>
      <c r="M122" s="50" t="s">
        <v>2172</v>
      </c>
      <c r="N122" s="50" t="s">
        <v>1495</v>
      </c>
      <c r="O122" s="47" t="s">
        <v>2173</v>
      </c>
      <c r="P122" s="47"/>
      <c r="Q122" s="47" t="s">
        <v>1463</v>
      </c>
      <c r="R122" s="47" t="s">
        <v>1463</v>
      </c>
      <c r="S122" s="43"/>
      <c r="T122" s="49">
        <v>43535</v>
      </c>
    </row>
    <row r="123" spans="1:20" ht="26.45">
      <c r="A123" s="44" t="s">
        <v>2174</v>
      </c>
      <c r="B123" s="44" t="s">
        <v>2175</v>
      </c>
      <c r="C123" s="45" t="s">
        <v>2176</v>
      </c>
      <c r="D123" s="44" t="s">
        <v>1419</v>
      </c>
      <c r="E123" s="44" t="s">
        <v>1481</v>
      </c>
      <c r="F123" s="44"/>
      <c r="G123" s="44" t="s">
        <v>1663</v>
      </c>
      <c r="H123" s="44" t="s">
        <v>2177</v>
      </c>
      <c r="I123" s="46"/>
      <c r="J123" s="46" t="s">
        <v>2171</v>
      </c>
      <c r="K123" s="46" t="s">
        <v>1523</v>
      </c>
      <c r="L123" s="46" t="s">
        <v>1504</v>
      </c>
      <c r="M123" s="46" t="s">
        <v>2172</v>
      </c>
      <c r="N123" s="46"/>
      <c r="O123" s="44" t="s">
        <v>2173</v>
      </c>
      <c r="P123" s="44"/>
      <c r="Q123" s="44" t="s">
        <v>1463</v>
      </c>
      <c r="R123" s="44" t="s">
        <v>1463</v>
      </c>
      <c r="S123" s="43"/>
      <c r="T123" s="51">
        <v>43195</v>
      </c>
    </row>
    <row r="124" spans="1:20" ht="26.45">
      <c r="A124" s="47" t="s">
        <v>2178</v>
      </c>
      <c r="B124" s="47" t="s">
        <v>2179</v>
      </c>
      <c r="C124" s="48" t="s">
        <v>2180</v>
      </c>
      <c r="D124" s="47" t="s">
        <v>1419</v>
      </c>
      <c r="E124" s="47" t="s">
        <v>1481</v>
      </c>
      <c r="F124" s="47"/>
      <c r="G124" s="47" t="s">
        <v>1663</v>
      </c>
      <c r="H124" s="47" t="s">
        <v>2181</v>
      </c>
      <c r="I124" s="50" t="s">
        <v>2182</v>
      </c>
      <c r="J124" s="50" t="s">
        <v>2183</v>
      </c>
      <c r="K124" s="50" t="s">
        <v>2184</v>
      </c>
      <c r="L124" s="50" t="s">
        <v>1504</v>
      </c>
      <c r="M124" s="50" t="s">
        <v>2185</v>
      </c>
      <c r="N124" s="50" t="s">
        <v>1516</v>
      </c>
      <c r="O124" s="47" t="s">
        <v>2186</v>
      </c>
      <c r="P124" s="47" t="s">
        <v>2187</v>
      </c>
      <c r="Q124" s="47" t="s">
        <v>1463</v>
      </c>
      <c r="R124" s="47" t="s">
        <v>1463</v>
      </c>
      <c r="S124" s="43"/>
      <c r="T124" s="49">
        <v>45268</v>
      </c>
    </row>
    <row r="125" spans="1:20" ht="26.45">
      <c r="A125" s="44" t="s">
        <v>2188</v>
      </c>
      <c r="B125" s="44" t="s">
        <v>2189</v>
      </c>
      <c r="C125" s="45" t="s">
        <v>2190</v>
      </c>
      <c r="D125" s="44" t="s">
        <v>1414</v>
      </c>
      <c r="E125" s="44" t="s">
        <v>1481</v>
      </c>
      <c r="F125" s="44"/>
      <c r="G125" s="44" t="s">
        <v>1663</v>
      </c>
      <c r="H125" s="44" t="s">
        <v>2191</v>
      </c>
      <c r="I125" s="46" t="s">
        <v>2192</v>
      </c>
      <c r="J125" s="46" t="s">
        <v>2193</v>
      </c>
      <c r="K125" s="46" t="s">
        <v>1484</v>
      </c>
      <c r="L125" s="46" t="s">
        <v>1474</v>
      </c>
      <c r="M125" s="46" t="s">
        <v>2194</v>
      </c>
      <c r="N125" s="46" t="s">
        <v>1629</v>
      </c>
      <c r="O125" s="44" t="s">
        <v>2195</v>
      </c>
      <c r="P125" s="44" t="s">
        <v>2196</v>
      </c>
      <c r="Q125" s="44" t="s">
        <v>1463</v>
      </c>
      <c r="R125" s="44" t="s">
        <v>1463</v>
      </c>
      <c r="S125" s="43"/>
      <c r="T125" s="51">
        <v>45355</v>
      </c>
    </row>
    <row r="126" spans="1:20" ht="26.45">
      <c r="A126" s="47" t="s">
        <v>608</v>
      </c>
      <c r="B126" s="47" t="s">
        <v>2197</v>
      </c>
      <c r="C126" s="48" t="s">
        <v>609</v>
      </c>
      <c r="D126" s="47" t="s">
        <v>1419</v>
      </c>
      <c r="E126" s="47" t="s">
        <v>1481</v>
      </c>
      <c r="F126" s="47"/>
      <c r="G126" s="47" t="s">
        <v>1466</v>
      </c>
      <c r="H126" s="47" t="s">
        <v>2198</v>
      </c>
      <c r="I126" s="50" t="s">
        <v>2199</v>
      </c>
      <c r="J126" s="50" t="s">
        <v>2200</v>
      </c>
      <c r="K126" s="50" t="s">
        <v>1493</v>
      </c>
      <c r="L126" s="50" t="s">
        <v>1474</v>
      </c>
      <c r="M126" s="50" t="s">
        <v>2201</v>
      </c>
      <c r="N126" s="50" t="s">
        <v>1495</v>
      </c>
      <c r="O126" s="47" t="s">
        <v>2202</v>
      </c>
      <c r="P126" s="47" t="s">
        <v>2203</v>
      </c>
      <c r="Q126" s="47" t="s">
        <v>1463</v>
      </c>
      <c r="R126" s="47" t="s">
        <v>1463</v>
      </c>
      <c r="S126" s="43"/>
      <c r="T126" s="49">
        <v>45280</v>
      </c>
    </row>
    <row r="127" spans="1:20">
      <c r="A127" s="44" t="s">
        <v>2204</v>
      </c>
      <c r="B127" s="44"/>
      <c r="C127" s="45" t="s">
        <v>2205</v>
      </c>
      <c r="D127" s="44" t="s">
        <v>1419</v>
      </c>
      <c r="E127" s="44" t="s">
        <v>1460</v>
      </c>
      <c r="F127" s="51">
        <v>41821.699279050903</v>
      </c>
      <c r="G127" s="44" t="s">
        <v>1466</v>
      </c>
      <c r="H127" s="44"/>
      <c r="I127" s="46"/>
      <c r="J127" s="46"/>
      <c r="K127" s="46"/>
      <c r="L127" s="46"/>
      <c r="M127" s="46"/>
      <c r="N127" s="46"/>
      <c r="O127" s="44"/>
      <c r="P127" s="44"/>
      <c r="Q127" s="44" t="s">
        <v>1463</v>
      </c>
      <c r="R127" s="44" t="s">
        <v>1463</v>
      </c>
      <c r="S127" s="43"/>
      <c r="T127" s="44"/>
    </row>
    <row r="128" spans="1:20">
      <c r="A128" s="47" t="s">
        <v>2206</v>
      </c>
      <c r="B128" s="47" t="s">
        <v>2207</v>
      </c>
      <c r="C128" s="48" t="s">
        <v>2208</v>
      </c>
      <c r="D128" s="47" t="s">
        <v>1419</v>
      </c>
      <c r="E128" s="47" t="s">
        <v>1481</v>
      </c>
      <c r="F128" s="47"/>
      <c r="G128" s="47" t="s">
        <v>1461</v>
      </c>
      <c r="H128" s="47"/>
      <c r="I128" s="50" t="s">
        <v>2208</v>
      </c>
      <c r="J128" s="50"/>
      <c r="K128" s="50"/>
      <c r="L128" s="50"/>
      <c r="M128" s="50"/>
      <c r="N128" s="50"/>
      <c r="O128" s="47" t="s">
        <v>2209</v>
      </c>
      <c r="P128" s="47"/>
      <c r="Q128" s="47" t="s">
        <v>1463</v>
      </c>
      <c r="R128" s="47" t="s">
        <v>1463</v>
      </c>
      <c r="S128" s="43"/>
      <c r="T128" s="47"/>
    </row>
    <row r="129" spans="1:20">
      <c r="A129" s="44" t="s">
        <v>80</v>
      </c>
      <c r="B129" s="44" t="s">
        <v>2210</v>
      </c>
      <c r="C129" s="45" t="s">
        <v>610</v>
      </c>
      <c r="D129" s="44" t="s">
        <v>1419</v>
      </c>
      <c r="E129" s="44" t="s">
        <v>1481</v>
      </c>
      <c r="F129" s="44"/>
      <c r="G129" s="44" t="s">
        <v>1466</v>
      </c>
      <c r="H129" s="44" t="s">
        <v>2211</v>
      </c>
      <c r="I129" s="46" t="s">
        <v>610</v>
      </c>
      <c r="J129" s="46" t="s">
        <v>2212</v>
      </c>
      <c r="K129" s="46" t="s">
        <v>2213</v>
      </c>
      <c r="L129" s="46" t="s">
        <v>1504</v>
      </c>
      <c r="M129" s="46" t="s">
        <v>2214</v>
      </c>
      <c r="N129" s="46"/>
      <c r="O129" s="44"/>
      <c r="P129" s="44"/>
      <c r="Q129" s="44" t="s">
        <v>1463</v>
      </c>
      <c r="R129" s="44" t="s">
        <v>1463</v>
      </c>
      <c r="S129" s="43"/>
      <c r="T129" s="44"/>
    </row>
    <row r="130" spans="1:20" ht="26.45">
      <c r="A130" s="47" t="s">
        <v>81</v>
      </c>
      <c r="B130" s="47" t="s">
        <v>2215</v>
      </c>
      <c r="C130" s="48" t="s">
        <v>611</v>
      </c>
      <c r="D130" s="47" t="s">
        <v>1414</v>
      </c>
      <c r="E130" s="47" t="s">
        <v>1481</v>
      </c>
      <c r="F130" s="47"/>
      <c r="G130" s="47" t="s">
        <v>1466</v>
      </c>
      <c r="H130" s="47" t="s">
        <v>2216</v>
      </c>
      <c r="I130" s="50" t="s">
        <v>2217</v>
      </c>
      <c r="J130" s="50" t="s">
        <v>2218</v>
      </c>
      <c r="K130" s="50" t="s">
        <v>1484</v>
      </c>
      <c r="L130" s="50" t="s">
        <v>1474</v>
      </c>
      <c r="M130" s="50" t="s">
        <v>2219</v>
      </c>
      <c r="N130" s="50" t="s">
        <v>1531</v>
      </c>
      <c r="O130" s="47" t="s">
        <v>2220</v>
      </c>
      <c r="P130" s="47" t="s">
        <v>2221</v>
      </c>
      <c r="Q130" s="47" t="s">
        <v>1463</v>
      </c>
      <c r="R130" s="47" t="s">
        <v>1463</v>
      </c>
      <c r="S130" s="43"/>
      <c r="T130" s="49">
        <v>45327</v>
      </c>
    </row>
    <row r="131" spans="1:20" ht="26.45">
      <c r="A131" s="44" t="s">
        <v>82</v>
      </c>
      <c r="B131" s="44" t="s">
        <v>2222</v>
      </c>
      <c r="C131" s="45" t="s">
        <v>612</v>
      </c>
      <c r="D131" s="44" t="s">
        <v>1419</v>
      </c>
      <c r="E131" s="44" t="s">
        <v>1481</v>
      </c>
      <c r="F131" s="44"/>
      <c r="G131" s="44" t="s">
        <v>1466</v>
      </c>
      <c r="H131" s="44" t="s">
        <v>2223</v>
      </c>
      <c r="I131" s="46" t="s">
        <v>2224</v>
      </c>
      <c r="J131" s="46" t="s">
        <v>2225</v>
      </c>
      <c r="K131" s="46" t="s">
        <v>1888</v>
      </c>
      <c r="L131" s="46" t="s">
        <v>1504</v>
      </c>
      <c r="M131" s="46" t="s">
        <v>2226</v>
      </c>
      <c r="N131" s="46" t="s">
        <v>1744</v>
      </c>
      <c r="O131" s="44" t="s">
        <v>2227</v>
      </c>
      <c r="P131" s="44" t="s">
        <v>2228</v>
      </c>
      <c r="Q131" s="44" t="s">
        <v>1463</v>
      </c>
      <c r="R131" s="44" t="s">
        <v>1463</v>
      </c>
      <c r="S131" s="43"/>
      <c r="T131" s="51">
        <v>45589</v>
      </c>
    </row>
    <row r="132" spans="1:20">
      <c r="A132" s="47" t="s">
        <v>2229</v>
      </c>
      <c r="B132" s="47" t="s">
        <v>2230</v>
      </c>
      <c r="C132" s="48" t="s">
        <v>2231</v>
      </c>
      <c r="D132" s="47" t="s">
        <v>1419</v>
      </c>
      <c r="E132" s="47" t="s">
        <v>1481</v>
      </c>
      <c r="F132" s="47"/>
      <c r="G132" s="47" t="s">
        <v>1461</v>
      </c>
      <c r="H132" s="47"/>
      <c r="I132" s="50"/>
      <c r="J132" s="50"/>
      <c r="K132" s="50"/>
      <c r="L132" s="50"/>
      <c r="M132" s="50"/>
      <c r="N132" s="50"/>
      <c r="O132" s="47"/>
      <c r="P132" s="47"/>
      <c r="Q132" s="47" t="s">
        <v>1463</v>
      </c>
      <c r="R132" s="47" t="s">
        <v>1463</v>
      </c>
      <c r="S132" s="43"/>
      <c r="T132" s="47"/>
    </row>
    <row r="133" spans="1:20">
      <c r="A133" s="44" t="s">
        <v>2232</v>
      </c>
      <c r="B133" s="44" t="s">
        <v>2233</v>
      </c>
      <c r="C133" s="45" t="s">
        <v>2234</v>
      </c>
      <c r="D133" s="44" t="s">
        <v>1419</v>
      </c>
      <c r="E133" s="44" t="s">
        <v>1481</v>
      </c>
      <c r="F133" s="44"/>
      <c r="G133" s="44" t="s">
        <v>1663</v>
      </c>
      <c r="H133" s="44" t="s">
        <v>2235</v>
      </c>
      <c r="I133" s="46"/>
      <c r="J133" s="46"/>
      <c r="K133" s="46"/>
      <c r="L133" s="46"/>
      <c r="M133" s="46"/>
      <c r="N133" s="46"/>
      <c r="O133" s="44"/>
      <c r="P133" s="44"/>
      <c r="Q133" s="44" t="s">
        <v>1463</v>
      </c>
      <c r="R133" s="44" t="s">
        <v>1463</v>
      </c>
      <c r="S133" s="43"/>
      <c r="T133" s="44"/>
    </row>
    <row r="134" spans="1:20" ht="26.45">
      <c r="A134" s="47" t="s">
        <v>613</v>
      </c>
      <c r="B134" s="47" t="s">
        <v>2236</v>
      </c>
      <c r="C134" s="48" t="s">
        <v>614</v>
      </c>
      <c r="D134" s="47" t="s">
        <v>1419</v>
      </c>
      <c r="E134" s="47" t="s">
        <v>1481</v>
      </c>
      <c r="F134" s="47"/>
      <c r="G134" s="47" t="s">
        <v>1663</v>
      </c>
      <c r="H134" s="47" t="s">
        <v>2237</v>
      </c>
      <c r="I134" s="50" t="s">
        <v>2238</v>
      </c>
      <c r="J134" s="50" t="s">
        <v>2239</v>
      </c>
      <c r="K134" s="50" t="s">
        <v>1493</v>
      </c>
      <c r="L134" s="50" t="s">
        <v>1474</v>
      </c>
      <c r="M134" s="50" t="s">
        <v>2240</v>
      </c>
      <c r="N134" s="50" t="s">
        <v>1495</v>
      </c>
      <c r="O134" s="47" t="s">
        <v>2241</v>
      </c>
      <c r="P134" s="47" t="s">
        <v>2242</v>
      </c>
      <c r="Q134" s="47" t="s">
        <v>1463</v>
      </c>
      <c r="R134" s="47" t="s">
        <v>1463</v>
      </c>
      <c r="S134" s="43"/>
      <c r="T134" s="49">
        <v>45313</v>
      </c>
    </row>
    <row r="135" spans="1:20" ht="26.45">
      <c r="A135" s="44" t="s">
        <v>615</v>
      </c>
      <c r="B135" s="44" t="s">
        <v>2243</v>
      </c>
      <c r="C135" s="45" t="s">
        <v>616</v>
      </c>
      <c r="D135" s="44" t="s">
        <v>1419</v>
      </c>
      <c r="E135" s="44" t="s">
        <v>1481</v>
      </c>
      <c r="F135" s="44"/>
      <c r="G135" s="44" t="s">
        <v>1244</v>
      </c>
      <c r="H135" s="44"/>
      <c r="I135" s="46" t="s">
        <v>616</v>
      </c>
      <c r="J135" s="46" t="s">
        <v>2244</v>
      </c>
      <c r="K135" s="46" t="s">
        <v>1523</v>
      </c>
      <c r="L135" s="46" t="s">
        <v>1504</v>
      </c>
      <c r="M135" s="46" t="s">
        <v>2245</v>
      </c>
      <c r="N135" s="46"/>
      <c r="O135" s="44" t="s">
        <v>2246</v>
      </c>
      <c r="P135" s="44"/>
      <c r="Q135" s="44" t="s">
        <v>1463</v>
      </c>
      <c r="R135" s="44" t="s">
        <v>1463</v>
      </c>
      <c r="S135" s="43"/>
      <c r="T135" s="51">
        <v>43266</v>
      </c>
    </row>
    <row r="136" spans="1:20">
      <c r="A136" s="47" t="s">
        <v>2247</v>
      </c>
      <c r="B136" s="47" t="s">
        <v>2248</v>
      </c>
      <c r="C136" s="48" t="s">
        <v>2249</v>
      </c>
      <c r="D136" s="47" t="s">
        <v>1419</v>
      </c>
      <c r="E136" s="47" t="s">
        <v>1460</v>
      </c>
      <c r="F136" s="47"/>
      <c r="G136" s="47" t="s">
        <v>1663</v>
      </c>
      <c r="H136" s="47"/>
      <c r="I136" s="50"/>
      <c r="J136" s="50"/>
      <c r="K136" s="50"/>
      <c r="L136" s="50"/>
      <c r="M136" s="50"/>
      <c r="N136" s="50"/>
      <c r="O136" s="47"/>
      <c r="P136" s="47"/>
      <c r="Q136" s="47" t="s">
        <v>1463</v>
      </c>
      <c r="R136" s="47" t="s">
        <v>1463</v>
      </c>
      <c r="S136" s="43"/>
      <c r="T136" s="47"/>
    </row>
    <row r="137" spans="1:20" ht="26.45">
      <c r="A137" s="44" t="s">
        <v>83</v>
      </c>
      <c r="B137" s="44" t="s">
        <v>2250</v>
      </c>
      <c r="C137" s="45" t="s">
        <v>617</v>
      </c>
      <c r="D137" s="44" t="s">
        <v>1419</v>
      </c>
      <c r="E137" s="44" t="s">
        <v>1481</v>
      </c>
      <c r="F137" s="44"/>
      <c r="G137" s="44" t="s">
        <v>1466</v>
      </c>
      <c r="H137" s="44" t="s">
        <v>2251</v>
      </c>
      <c r="I137" s="46" t="s">
        <v>617</v>
      </c>
      <c r="J137" s="46" t="s">
        <v>2252</v>
      </c>
      <c r="K137" s="46" t="s">
        <v>1503</v>
      </c>
      <c r="L137" s="46" t="s">
        <v>1504</v>
      </c>
      <c r="M137" s="46" t="s">
        <v>2253</v>
      </c>
      <c r="N137" s="46" t="s">
        <v>1744</v>
      </c>
      <c r="O137" s="44" t="s">
        <v>2254</v>
      </c>
      <c r="P137" s="44" t="s">
        <v>2255</v>
      </c>
      <c r="Q137" s="44" t="s">
        <v>1463</v>
      </c>
      <c r="R137" s="44" t="s">
        <v>1463</v>
      </c>
      <c r="S137" s="43"/>
      <c r="T137" s="51">
        <v>45666</v>
      </c>
    </row>
    <row r="138" spans="1:20" ht="26.45">
      <c r="A138" s="47" t="s">
        <v>2256</v>
      </c>
      <c r="B138" s="47" t="s">
        <v>2257</v>
      </c>
      <c r="C138" s="48" t="s">
        <v>2258</v>
      </c>
      <c r="D138" s="47" t="s">
        <v>1419</v>
      </c>
      <c r="E138" s="47" t="s">
        <v>1481</v>
      </c>
      <c r="F138" s="47"/>
      <c r="G138" s="47" t="s">
        <v>1461</v>
      </c>
      <c r="H138" s="47" t="s">
        <v>2259</v>
      </c>
      <c r="I138" s="50" t="s">
        <v>2258</v>
      </c>
      <c r="J138" s="50" t="s">
        <v>2260</v>
      </c>
      <c r="K138" s="50" t="s">
        <v>1523</v>
      </c>
      <c r="L138" s="50" t="s">
        <v>1504</v>
      </c>
      <c r="M138" s="50" t="s">
        <v>2261</v>
      </c>
      <c r="N138" s="50" t="s">
        <v>1516</v>
      </c>
      <c r="O138" s="47" t="s">
        <v>2262</v>
      </c>
      <c r="P138" s="47"/>
      <c r="Q138" s="47" t="s">
        <v>1463</v>
      </c>
      <c r="R138" s="47" t="s">
        <v>1463</v>
      </c>
      <c r="S138" s="43"/>
      <c r="T138" s="49">
        <v>43250</v>
      </c>
    </row>
    <row r="139" spans="1:20">
      <c r="A139" s="44" t="s">
        <v>618</v>
      </c>
      <c r="B139" s="44" t="s">
        <v>2263</v>
      </c>
      <c r="C139" s="45" t="s">
        <v>619</v>
      </c>
      <c r="D139" s="44" t="s">
        <v>1419</v>
      </c>
      <c r="E139" s="44" t="s">
        <v>1481</v>
      </c>
      <c r="F139" s="44"/>
      <c r="G139" s="44" t="s">
        <v>1687</v>
      </c>
      <c r="H139" s="44"/>
      <c r="I139" s="46"/>
      <c r="J139" s="46"/>
      <c r="K139" s="46"/>
      <c r="L139" s="46"/>
      <c r="M139" s="46"/>
      <c r="N139" s="46"/>
      <c r="O139" s="44"/>
      <c r="P139" s="44"/>
      <c r="Q139" s="44" t="s">
        <v>1463</v>
      </c>
      <c r="R139" s="44" t="s">
        <v>1463</v>
      </c>
      <c r="S139" s="43"/>
      <c r="T139" s="44"/>
    </row>
    <row r="140" spans="1:20">
      <c r="A140" s="47" t="s">
        <v>2264</v>
      </c>
      <c r="B140" s="47" t="s">
        <v>2265</v>
      </c>
      <c r="C140" s="48" t="s">
        <v>2266</v>
      </c>
      <c r="D140" s="47" t="s">
        <v>1419</v>
      </c>
      <c r="E140" s="47" t="s">
        <v>1481</v>
      </c>
      <c r="F140" s="47"/>
      <c r="G140" s="47" t="s">
        <v>1461</v>
      </c>
      <c r="H140" s="47" t="s">
        <v>2267</v>
      </c>
      <c r="I140" s="50" t="s">
        <v>2268</v>
      </c>
      <c r="J140" s="50" t="s">
        <v>2269</v>
      </c>
      <c r="K140" s="50" t="s">
        <v>1493</v>
      </c>
      <c r="L140" s="50" t="s">
        <v>1474</v>
      </c>
      <c r="M140" s="50" t="s">
        <v>2270</v>
      </c>
      <c r="N140" s="50" t="s">
        <v>1629</v>
      </c>
      <c r="O140" s="47" t="s">
        <v>2271</v>
      </c>
      <c r="P140" s="47" t="s">
        <v>2272</v>
      </c>
      <c r="Q140" s="47" t="s">
        <v>1463</v>
      </c>
      <c r="R140" s="47" t="s">
        <v>1463</v>
      </c>
      <c r="S140" s="43"/>
      <c r="T140" s="49">
        <v>45379</v>
      </c>
    </row>
    <row r="141" spans="1:20" ht="26.45">
      <c r="A141" s="44" t="s">
        <v>84</v>
      </c>
      <c r="B141" s="44" t="s">
        <v>2273</v>
      </c>
      <c r="C141" s="45" t="s">
        <v>620</v>
      </c>
      <c r="D141" s="44" t="s">
        <v>1419</v>
      </c>
      <c r="E141" s="44" t="s">
        <v>1481</v>
      </c>
      <c r="F141" s="44"/>
      <c r="G141" s="44" t="s">
        <v>1466</v>
      </c>
      <c r="H141" s="44" t="s">
        <v>2274</v>
      </c>
      <c r="I141" s="46" t="s">
        <v>620</v>
      </c>
      <c r="J141" s="46" t="s">
        <v>2275</v>
      </c>
      <c r="K141" s="46" t="s">
        <v>1493</v>
      </c>
      <c r="L141" s="46" t="s">
        <v>1504</v>
      </c>
      <c r="M141" s="46" t="s">
        <v>2276</v>
      </c>
      <c r="N141" s="46" t="s">
        <v>1525</v>
      </c>
      <c r="O141" s="44" t="s">
        <v>2277</v>
      </c>
      <c r="P141" s="44" t="s">
        <v>2278</v>
      </c>
      <c r="Q141" s="44" t="s">
        <v>1463</v>
      </c>
      <c r="R141" s="44" t="s">
        <v>1463</v>
      </c>
      <c r="S141" s="43"/>
      <c r="T141" s="51">
        <v>45674</v>
      </c>
    </row>
    <row r="142" spans="1:20" ht="26.45">
      <c r="A142" s="47" t="s">
        <v>85</v>
      </c>
      <c r="B142" s="47" t="s">
        <v>2279</v>
      </c>
      <c r="C142" s="48" t="s">
        <v>621</v>
      </c>
      <c r="D142" s="47" t="s">
        <v>1419</v>
      </c>
      <c r="E142" s="47" t="s">
        <v>1481</v>
      </c>
      <c r="F142" s="47"/>
      <c r="G142" s="47" t="s">
        <v>1466</v>
      </c>
      <c r="H142" s="47" t="s">
        <v>2280</v>
      </c>
      <c r="I142" s="50" t="s">
        <v>621</v>
      </c>
      <c r="J142" s="50" t="s">
        <v>2281</v>
      </c>
      <c r="K142" s="50" t="s">
        <v>1975</v>
      </c>
      <c r="L142" s="50" t="s">
        <v>1474</v>
      </c>
      <c r="M142" s="50" t="s">
        <v>2282</v>
      </c>
      <c r="N142" s="50" t="s">
        <v>1516</v>
      </c>
      <c r="O142" s="47" t="s">
        <v>2283</v>
      </c>
      <c r="P142" s="47" t="s">
        <v>2284</v>
      </c>
      <c r="Q142" s="47" t="s">
        <v>1463</v>
      </c>
      <c r="R142" s="47" t="s">
        <v>1463</v>
      </c>
      <c r="S142" s="43"/>
      <c r="T142" s="49">
        <v>45518</v>
      </c>
    </row>
    <row r="143" spans="1:20">
      <c r="A143" s="44" t="s">
        <v>2285</v>
      </c>
      <c r="B143" s="44"/>
      <c r="C143" s="45" t="s">
        <v>2286</v>
      </c>
      <c r="D143" s="44" t="s">
        <v>1419</v>
      </c>
      <c r="E143" s="44" t="s">
        <v>1460</v>
      </c>
      <c r="F143" s="51">
        <v>41457.382442210597</v>
      </c>
      <c r="G143" s="44" t="s">
        <v>1466</v>
      </c>
      <c r="H143" s="44"/>
      <c r="I143" s="46"/>
      <c r="J143" s="46"/>
      <c r="K143" s="46"/>
      <c r="L143" s="46"/>
      <c r="M143" s="46"/>
      <c r="N143" s="46"/>
      <c r="O143" s="44"/>
      <c r="P143" s="44"/>
      <c r="Q143" s="44" t="s">
        <v>1463</v>
      </c>
      <c r="R143" s="44" t="s">
        <v>1463</v>
      </c>
      <c r="S143" s="43"/>
      <c r="T143" s="44"/>
    </row>
    <row r="144" spans="1:20">
      <c r="A144" s="47" t="s">
        <v>2287</v>
      </c>
      <c r="B144" s="47"/>
      <c r="C144" s="48" t="s">
        <v>2288</v>
      </c>
      <c r="D144" s="47" t="s">
        <v>1419</v>
      </c>
      <c r="E144" s="47" t="s">
        <v>1460</v>
      </c>
      <c r="F144" s="49">
        <v>41960.860493749999</v>
      </c>
      <c r="G144" s="47" t="s">
        <v>1466</v>
      </c>
      <c r="H144" s="47"/>
      <c r="I144" s="50"/>
      <c r="J144" s="50"/>
      <c r="K144" s="50"/>
      <c r="L144" s="50"/>
      <c r="M144" s="50"/>
      <c r="N144" s="50"/>
      <c r="O144" s="47"/>
      <c r="P144" s="47"/>
      <c r="Q144" s="47" t="s">
        <v>1463</v>
      </c>
      <c r="R144" s="47" t="s">
        <v>1463</v>
      </c>
      <c r="S144" s="43"/>
      <c r="T144" s="47"/>
    </row>
    <row r="145" spans="1:20" ht="39.6">
      <c r="A145" s="44" t="s">
        <v>2289</v>
      </c>
      <c r="B145" s="44" t="s">
        <v>2290</v>
      </c>
      <c r="C145" s="45" t="s">
        <v>2291</v>
      </c>
      <c r="D145" s="44" t="s">
        <v>1432</v>
      </c>
      <c r="E145" s="44" t="s">
        <v>1481</v>
      </c>
      <c r="F145" s="44"/>
      <c r="G145" s="44" t="s">
        <v>1511</v>
      </c>
      <c r="H145" s="44"/>
      <c r="I145" s="46" t="s">
        <v>2291</v>
      </c>
      <c r="J145" s="46"/>
      <c r="K145" s="46"/>
      <c r="L145" s="46"/>
      <c r="M145" s="46"/>
      <c r="N145" s="46"/>
      <c r="O145" s="44"/>
      <c r="P145" s="44"/>
      <c r="Q145" s="44" t="s">
        <v>1463</v>
      </c>
      <c r="R145" s="44" t="s">
        <v>1463</v>
      </c>
      <c r="S145" s="43"/>
      <c r="T145" s="44"/>
    </row>
    <row r="146" spans="1:20" ht="39.6">
      <c r="A146" s="47" t="s">
        <v>2292</v>
      </c>
      <c r="B146" s="47" t="s">
        <v>2293</v>
      </c>
      <c r="C146" s="48" t="s">
        <v>2294</v>
      </c>
      <c r="D146" s="47" t="s">
        <v>1432</v>
      </c>
      <c r="E146" s="47" t="s">
        <v>1481</v>
      </c>
      <c r="F146" s="47"/>
      <c r="G146" s="47" t="s">
        <v>1511</v>
      </c>
      <c r="H146" s="47" t="s">
        <v>2295</v>
      </c>
      <c r="I146" s="50"/>
      <c r="J146" s="50"/>
      <c r="K146" s="50"/>
      <c r="L146" s="50"/>
      <c r="M146" s="50"/>
      <c r="N146" s="50"/>
      <c r="O146" s="47"/>
      <c r="P146" s="47"/>
      <c r="Q146" s="47" t="s">
        <v>1463</v>
      </c>
      <c r="R146" s="47" t="s">
        <v>1463</v>
      </c>
      <c r="S146" s="43"/>
      <c r="T146" s="47"/>
    </row>
    <row r="147" spans="1:20">
      <c r="A147" s="44" t="s">
        <v>2296</v>
      </c>
      <c r="B147" s="44"/>
      <c r="C147" s="45" t="s">
        <v>2297</v>
      </c>
      <c r="D147" s="44" t="s">
        <v>1419</v>
      </c>
      <c r="E147" s="44" t="s">
        <v>1460</v>
      </c>
      <c r="F147" s="51">
        <v>41457.382441400499</v>
      </c>
      <c r="G147" s="44" t="s">
        <v>1663</v>
      </c>
      <c r="H147" s="44" t="s">
        <v>2298</v>
      </c>
      <c r="I147" s="46"/>
      <c r="J147" s="46"/>
      <c r="K147" s="46"/>
      <c r="L147" s="46"/>
      <c r="M147" s="46"/>
      <c r="N147" s="46"/>
      <c r="O147" s="44"/>
      <c r="P147" s="44"/>
      <c r="Q147" s="44" t="s">
        <v>1463</v>
      </c>
      <c r="R147" s="44" t="s">
        <v>1463</v>
      </c>
      <c r="S147" s="43"/>
      <c r="T147" s="44"/>
    </row>
    <row r="148" spans="1:20" ht="26.45">
      <c r="A148" s="47" t="s">
        <v>2299</v>
      </c>
      <c r="B148" s="47" t="s">
        <v>2300</v>
      </c>
      <c r="C148" s="48" t="s">
        <v>2301</v>
      </c>
      <c r="D148" s="47" t="s">
        <v>1419</v>
      </c>
      <c r="E148" s="47" t="s">
        <v>1460</v>
      </c>
      <c r="F148" s="49">
        <v>42425.756466053201</v>
      </c>
      <c r="G148" s="47" t="s">
        <v>1466</v>
      </c>
      <c r="H148" s="47" t="s">
        <v>2302</v>
      </c>
      <c r="I148" s="50" t="s">
        <v>2301</v>
      </c>
      <c r="J148" s="50"/>
      <c r="K148" s="50"/>
      <c r="L148" s="50"/>
      <c r="M148" s="50"/>
      <c r="N148" s="50"/>
      <c r="O148" s="47" t="s">
        <v>2303</v>
      </c>
      <c r="P148" s="47"/>
      <c r="Q148" s="47" t="s">
        <v>1463</v>
      </c>
      <c r="R148" s="47" t="s">
        <v>1463</v>
      </c>
      <c r="S148" s="43"/>
      <c r="T148" s="47"/>
    </row>
    <row r="149" spans="1:20" ht="26.45">
      <c r="A149" s="44" t="s">
        <v>622</v>
      </c>
      <c r="B149" s="44" t="s">
        <v>2304</v>
      </c>
      <c r="C149" s="45" t="s">
        <v>623</v>
      </c>
      <c r="D149" s="44" t="s">
        <v>1419</v>
      </c>
      <c r="E149" s="44" t="s">
        <v>1481</v>
      </c>
      <c r="F149" s="44"/>
      <c r="G149" s="44" t="s">
        <v>1466</v>
      </c>
      <c r="H149" s="44" t="s">
        <v>2305</v>
      </c>
      <c r="I149" s="46" t="s">
        <v>2306</v>
      </c>
      <c r="J149" s="46" t="s">
        <v>2307</v>
      </c>
      <c r="K149" s="46" t="s">
        <v>1493</v>
      </c>
      <c r="L149" s="46" t="s">
        <v>1474</v>
      </c>
      <c r="M149" s="46" t="s">
        <v>2308</v>
      </c>
      <c r="N149" s="46" t="s">
        <v>1629</v>
      </c>
      <c r="O149" s="44" t="s">
        <v>2309</v>
      </c>
      <c r="P149" s="44" t="s">
        <v>2310</v>
      </c>
      <c r="Q149" s="44" t="s">
        <v>1463</v>
      </c>
      <c r="R149" s="44" t="s">
        <v>1463</v>
      </c>
      <c r="S149" s="43"/>
      <c r="T149" s="51">
        <v>45456</v>
      </c>
    </row>
    <row r="150" spans="1:20">
      <c r="A150" s="47" t="s">
        <v>2311</v>
      </c>
      <c r="B150" s="47" t="s">
        <v>2312</v>
      </c>
      <c r="C150" s="48" t="s">
        <v>2313</v>
      </c>
      <c r="D150" s="47" t="s">
        <v>1419</v>
      </c>
      <c r="E150" s="47" t="s">
        <v>1460</v>
      </c>
      <c r="F150" s="49">
        <v>43656.708566169</v>
      </c>
      <c r="G150" s="47" t="s">
        <v>1466</v>
      </c>
      <c r="H150" s="47"/>
      <c r="I150" s="50"/>
      <c r="J150" s="50"/>
      <c r="K150" s="50"/>
      <c r="L150" s="50"/>
      <c r="M150" s="50"/>
      <c r="N150" s="50"/>
      <c r="O150" s="47"/>
      <c r="P150" s="47"/>
      <c r="Q150" s="47" t="s">
        <v>1463</v>
      </c>
      <c r="R150" s="47" t="s">
        <v>1463</v>
      </c>
      <c r="S150" s="43"/>
      <c r="T150" s="47"/>
    </row>
    <row r="151" spans="1:20">
      <c r="A151" s="44" t="s">
        <v>2314</v>
      </c>
      <c r="B151" s="44" t="s">
        <v>2315</v>
      </c>
      <c r="C151" s="45" t="s">
        <v>2316</v>
      </c>
      <c r="D151" s="44" t="s">
        <v>1419</v>
      </c>
      <c r="E151" s="44" t="s">
        <v>1481</v>
      </c>
      <c r="F151" s="44"/>
      <c r="G151" s="44" t="s">
        <v>1663</v>
      </c>
      <c r="H151" s="44" t="s">
        <v>2317</v>
      </c>
      <c r="I151" s="46" t="s">
        <v>2318</v>
      </c>
      <c r="J151" s="46" t="s">
        <v>2319</v>
      </c>
      <c r="K151" s="46" t="s">
        <v>1493</v>
      </c>
      <c r="L151" s="46" t="s">
        <v>1504</v>
      </c>
      <c r="M151" s="46" t="s">
        <v>2320</v>
      </c>
      <c r="N151" s="46" t="s">
        <v>1495</v>
      </c>
      <c r="O151" s="44" t="s">
        <v>2014</v>
      </c>
      <c r="P151" s="44"/>
      <c r="Q151" s="44" t="s">
        <v>1463</v>
      </c>
      <c r="R151" s="44" t="s">
        <v>1463</v>
      </c>
      <c r="S151" s="43"/>
      <c r="T151" s="51">
        <v>44590</v>
      </c>
    </row>
    <row r="152" spans="1:20" ht="26.45">
      <c r="A152" s="47" t="s">
        <v>86</v>
      </c>
      <c r="B152" s="47" t="s">
        <v>2321</v>
      </c>
      <c r="C152" s="48" t="s">
        <v>624</v>
      </c>
      <c r="D152" s="47" t="s">
        <v>1419</v>
      </c>
      <c r="E152" s="47" t="s">
        <v>1481</v>
      </c>
      <c r="F152" s="47"/>
      <c r="G152" s="47" t="s">
        <v>1687</v>
      </c>
      <c r="H152" s="47" t="s">
        <v>2322</v>
      </c>
      <c r="I152" s="50" t="s">
        <v>2323</v>
      </c>
      <c r="J152" s="50" t="s">
        <v>2324</v>
      </c>
      <c r="K152" s="50" t="s">
        <v>1484</v>
      </c>
      <c r="L152" s="50" t="s">
        <v>1504</v>
      </c>
      <c r="M152" s="50" t="s">
        <v>2325</v>
      </c>
      <c r="N152" s="50" t="s">
        <v>1495</v>
      </c>
      <c r="O152" s="47" t="s">
        <v>2326</v>
      </c>
      <c r="P152" s="47" t="s">
        <v>2327</v>
      </c>
      <c r="Q152" s="47" t="s">
        <v>1463</v>
      </c>
      <c r="R152" s="47" t="s">
        <v>1463</v>
      </c>
      <c r="S152" s="43"/>
      <c r="T152" s="49">
        <v>45608</v>
      </c>
    </row>
    <row r="153" spans="1:20">
      <c r="A153" s="44" t="s">
        <v>2328</v>
      </c>
      <c r="B153" s="44" t="s">
        <v>2329</v>
      </c>
      <c r="C153" s="45" t="s">
        <v>2330</v>
      </c>
      <c r="D153" s="44" t="s">
        <v>1419</v>
      </c>
      <c r="E153" s="44" t="s">
        <v>1460</v>
      </c>
      <c r="F153" s="44"/>
      <c r="G153" s="44" t="s">
        <v>1663</v>
      </c>
      <c r="H153" s="44"/>
      <c r="I153" s="46"/>
      <c r="J153" s="46"/>
      <c r="K153" s="46"/>
      <c r="L153" s="46"/>
      <c r="M153" s="46"/>
      <c r="N153" s="46"/>
      <c r="O153" s="44"/>
      <c r="P153" s="44"/>
      <c r="Q153" s="44" t="s">
        <v>1463</v>
      </c>
      <c r="R153" s="44" t="s">
        <v>1463</v>
      </c>
      <c r="S153" s="43"/>
      <c r="T153" s="44"/>
    </row>
    <row r="154" spans="1:20">
      <c r="A154" s="47" t="s">
        <v>2331</v>
      </c>
      <c r="B154" s="47" t="s">
        <v>2332</v>
      </c>
      <c r="C154" s="48" t="s">
        <v>2330</v>
      </c>
      <c r="D154" s="47" t="s">
        <v>1419</v>
      </c>
      <c r="E154" s="47" t="s">
        <v>1481</v>
      </c>
      <c r="F154" s="47"/>
      <c r="G154" s="47" t="s">
        <v>1663</v>
      </c>
      <c r="H154" s="47" t="s">
        <v>2333</v>
      </c>
      <c r="I154" s="50" t="s">
        <v>2330</v>
      </c>
      <c r="J154" s="50" t="s">
        <v>2334</v>
      </c>
      <c r="K154" s="50" t="s">
        <v>1523</v>
      </c>
      <c r="L154" s="50" t="s">
        <v>1504</v>
      </c>
      <c r="M154" s="50" t="s">
        <v>2335</v>
      </c>
      <c r="N154" s="50" t="s">
        <v>1476</v>
      </c>
      <c r="O154" s="47" t="s">
        <v>2336</v>
      </c>
      <c r="P154" s="47"/>
      <c r="Q154" s="47" t="s">
        <v>1463</v>
      </c>
      <c r="R154" s="47" t="s">
        <v>1463</v>
      </c>
      <c r="S154" s="43"/>
      <c r="T154" s="49">
        <v>44686</v>
      </c>
    </row>
    <row r="155" spans="1:20">
      <c r="A155" s="44" t="s">
        <v>2337</v>
      </c>
      <c r="B155" s="44"/>
      <c r="C155" s="45" t="s">
        <v>2338</v>
      </c>
      <c r="D155" s="44" t="s">
        <v>1420</v>
      </c>
      <c r="E155" s="44" t="s">
        <v>1460</v>
      </c>
      <c r="F155" s="51">
        <v>41474.645847881897</v>
      </c>
      <c r="G155" s="44" t="s">
        <v>1466</v>
      </c>
      <c r="H155" s="44"/>
      <c r="I155" s="46"/>
      <c r="J155" s="46"/>
      <c r="K155" s="46"/>
      <c r="L155" s="46"/>
      <c r="M155" s="46"/>
      <c r="N155" s="46"/>
      <c r="O155" s="44"/>
      <c r="P155" s="44"/>
      <c r="Q155" s="44" t="s">
        <v>1463</v>
      </c>
      <c r="R155" s="44" t="s">
        <v>1463</v>
      </c>
      <c r="S155" s="43"/>
      <c r="T155" s="44"/>
    </row>
    <row r="156" spans="1:20" ht="26.45">
      <c r="A156" s="47" t="s">
        <v>2339</v>
      </c>
      <c r="B156" s="47" t="s">
        <v>2340</v>
      </c>
      <c r="C156" s="48" t="s">
        <v>2341</v>
      </c>
      <c r="D156" s="47" t="s">
        <v>1425</v>
      </c>
      <c r="E156" s="47" t="s">
        <v>1481</v>
      </c>
      <c r="F156" s="47"/>
      <c r="G156" s="47" t="s">
        <v>1663</v>
      </c>
      <c r="H156" s="47" t="s">
        <v>2342</v>
      </c>
      <c r="I156" s="50" t="s">
        <v>2343</v>
      </c>
      <c r="J156" s="50" t="s">
        <v>2344</v>
      </c>
      <c r="K156" s="50" t="s">
        <v>1425</v>
      </c>
      <c r="L156" s="50" t="s">
        <v>1504</v>
      </c>
      <c r="M156" s="50" t="s">
        <v>2345</v>
      </c>
      <c r="N156" s="50" t="s">
        <v>1476</v>
      </c>
      <c r="O156" s="47" t="s">
        <v>2346</v>
      </c>
      <c r="P156" s="47" t="s">
        <v>2347</v>
      </c>
      <c r="Q156" s="47" t="s">
        <v>1463</v>
      </c>
      <c r="R156" s="47" t="s">
        <v>1463</v>
      </c>
      <c r="S156" s="43"/>
      <c r="T156" s="49">
        <v>45280</v>
      </c>
    </row>
    <row r="157" spans="1:20" ht="26.45">
      <c r="A157" s="44" t="s">
        <v>87</v>
      </c>
      <c r="B157" s="44" t="s">
        <v>2348</v>
      </c>
      <c r="C157" s="45" t="s">
        <v>625</v>
      </c>
      <c r="D157" s="44" t="s">
        <v>1419</v>
      </c>
      <c r="E157" s="44" t="s">
        <v>1481</v>
      </c>
      <c r="F157" s="44"/>
      <c r="G157" s="44" t="s">
        <v>1687</v>
      </c>
      <c r="H157" s="44" t="s">
        <v>2349</v>
      </c>
      <c r="I157" s="46" t="s">
        <v>2350</v>
      </c>
      <c r="J157" s="46" t="s">
        <v>2351</v>
      </c>
      <c r="K157" s="46" t="s">
        <v>2352</v>
      </c>
      <c r="L157" s="46" t="s">
        <v>1474</v>
      </c>
      <c r="M157" s="46" t="s">
        <v>2353</v>
      </c>
      <c r="N157" s="46" t="s">
        <v>1629</v>
      </c>
      <c r="O157" s="44" t="s">
        <v>2354</v>
      </c>
      <c r="P157" s="44" t="s">
        <v>2355</v>
      </c>
      <c r="Q157" s="44" t="s">
        <v>1695</v>
      </c>
      <c r="R157" s="44" t="s">
        <v>1463</v>
      </c>
      <c r="S157" s="43"/>
      <c r="T157" s="51">
        <v>45406</v>
      </c>
    </row>
    <row r="158" spans="1:20">
      <c r="A158" s="47" t="s">
        <v>2356</v>
      </c>
      <c r="B158" s="47"/>
      <c r="C158" s="48" t="s">
        <v>2357</v>
      </c>
      <c r="D158" s="47" t="s">
        <v>1416</v>
      </c>
      <c r="E158" s="47" t="s">
        <v>1460</v>
      </c>
      <c r="F158" s="49">
        <v>41457.382442557901</v>
      </c>
      <c r="G158" s="47" t="s">
        <v>1466</v>
      </c>
      <c r="H158" s="47"/>
      <c r="I158" s="50"/>
      <c r="J158" s="50"/>
      <c r="K158" s="50"/>
      <c r="L158" s="50"/>
      <c r="M158" s="50"/>
      <c r="N158" s="50"/>
      <c r="O158" s="47"/>
      <c r="P158" s="47"/>
      <c r="Q158" s="47" t="s">
        <v>1463</v>
      </c>
      <c r="R158" s="47" t="s">
        <v>1463</v>
      </c>
      <c r="S158" s="43"/>
      <c r="T158" s="47"/>
    </row>
    <row r="159" spans="1:20" ht="26.45">
      <c r="A159" s="44" t="s">
        <v>2358</v>
      </c>
      <c r="B159" s="44"/>
      <c r="C159" s="45" t="s">
        <v>2359</v>
      </c>
      <c r="D159" s="44" t="s">
        <v>1419</v>
      </c>
      <c r="E159" s="44" t="s">
        <v>1460</v>
      </c>
      <c r="F159" s="51">
        <v>41457.382442476897</v>
      </c>
      <c r="G159" s="44" t="s">
        <v>1466</v>
      </c>
      <c r="H159" s="44"/>
      <c r="I159" s="46"/>
      <c r="J159" s="46"/>
      <c r="K159" s="46"/>
      <c r="L159" s="46"/>
      <c r="M159" s="46"/>
      <c r="N159" s="46"/>
      <c r="O159" s="44"/>
      <c r="P159" s="44"/>
      <c r="Q159" s="44" t="s">
        <v>1463</v>
      </c>
      <c r="R159" s="44" t="s">
        <v>1463</v>
      </c>
      <c r="S159" s="43"/>
      <c r="T159" s="44"/>
    </row>
    <row r="160" spans="1:20" ht="26.45">
      <c r="A160" s="47" t="s">
        <v>88</v>
      </c>
      <c r="B160" s="47" t="s">
        <v>2360</v>
      </c>
      <c r="C160" s="48" t="s">
        <v>626</v>
      </c>
      <c r="D160" s="47" t="s">
        <v>1428</v>
      </c>
      <c r="E160" s="47" t="s">
        <v>1481</v>
      </c>
      <c r="F160" s="47"/>
      <c r="G160" s="47" t="s">
        <v>1687</v>
      </c>
      <c r="H160" s="47" t="s">
        <v>2361</v>
      </c>
      <c r="I160" s="50" t="s">
        <v>2362</v>
      </c>
      <c r="J160" s="50" t="s">
        <v>2363</v>
      </c>
      <c r="K160" s="50" t="s">
        <v>2364</v>
      </c>
      <c r="L160" s="50" t="s">
        <v>1504</v>
      </c>
      <c r="M160" s="50" t="s">
        <v>2365</v>
      </c>
      <c r="N160" s="50" t="s">
        <v>1531</v>
      </c>
      <c r="O160" s="47" t="s">
        <v>2366</v>
      </c>
      <c r="P160" s="47" t="s">
        <v>2367</v>
      </c>
      <c r="Q160" s="47" t="s">
        <v>1695</v>
      </c>
      <c r="R160" s="47" t="s">
        <v>1463</v>
      </c>
      <c r="S160" s="43"/>
      <c r="T160" s="49">
        <v>45342</v>
      </c>
    </row>
    <row r="161" spans="1:20" ht="26.45">
      <c r="A161" s="44" t="s">
        <v>89</v>
      </c>
      <c r="B161" s="44" t="s">
        <v>2368</v>
      </c>
      <c r="C161" s="45" t="s">
        <v>627</v>
      </c>
      <c r="D161" s="44" t="s">
        <v>1420</v>
      </c>
      <c r="E161" s="44" t="s">
        <v>1481</v>
      </c>
      <c r="F161" s="44"/>
      <c r="G161" s="44" t="s">
        <v>1687</v>
      </c>
      <c r="H161" s="44" t="s">
        <v>2369</v>
      </c>
      <c r="I161" s="46" t="s">
        <v>2370</v>
      </c>
      <c r="J161" s="46" t="s">
        <v>2371</v>
      </c>
      <c r="K161" s="46" t="s">
        <v>2372</v>
      </c>
      <c r="L161" s="46" t="s">
        <v>1474</v>
      </c>
      <c r="M161" s="46" t="s">
        <v>2373</v>
      </c>
      <c r="N161" s="46" t="s">
        <v>1476</v>
      </c>
      <c r="O161" s="44" t="s">
        <v>2374</v>
      </c>
      <c r="P161" s="44" t="s">
        <v>2375</v>
      </c>
      <c r="Q161" s="44" t="s">
        <v>1695</v>
      </c>
      <c r="R161" s="44" t="s">
        <v>1463</v>
      </c>
      <c r="S161" s="43"/>
      <c r="T161" s="51">
        <v>45369</v>
      </c>
    </row>
    <row r="162" spans="1:20" ht="26.45">
      <c r="A162" s="47" t="s">
        <v>90</v>
      </c>
      <c r="B162" s="47" t="s">
        <v>2376</v>
      </c>
      <c r="C162" s="48" t="s">
        <v>632</v>
      </c>
      <c r="D162" s="47" t="s">
        <v>1419</v>
      </c>
      <c r="E162" s="47" t="s">
        <v>1481</v>
      </c>
      <c r="F162" s="47"/>
      <c r="G162" s="47" t="s">
        <v>1466</v>
      </c>
      <c r="H162" s="47" t="s">
        <v>2377</v>
      </c>
      <c r="I162" s="50" t="s">
        <v>632</v>
      </c>
      <c r="J162" s="50" t="s">
        <v>2378</v>
      </c>
      <c r="K162" s="50" t="s">
        <v>2184</v>
      </c>
      <c r="L162" s="50" t="s">
        <v>2117</v>
      </c>
      <c r="M162" s="50" t="s">
        <v>2379</v>
      </c>
      <c r="N162" s="50" t="s">
        <v>1476</v>
      </c>
      <c r="O162" s="47" t="s">
        <v>2380</v>
      </c>
      <c r="P162" s="47" t="s">
        <v>2381</v>
      </c>
      <c r="Q162" s="47" t="s">
        <v>1463</v>
      </c>
      <c r="R162" s="47" t="s">
        <v>1463</v>
      </c>
      <c r="S162" s="43"/>
      <c r="T162" s="49">
        <v>45541</v>
      </c>
    </row>
    <row r="163" spans="1:20" ht="26.45">
      <c r="A163" s="44" t="s">
        <v>635</v>
      </c>
      <c r="B163" s="44" t="s">
        <v>2382</v>
      </c>
      <c r="C163" s="45" t="s">
        <v>632</v>
      </c>
      <c r="D163" s="44" t="s">
        <v>1419</v>
      </c>
      <c r="E163" s="44" t="s">
        <v>1481</v>
      </c>
      <c r="F163" s="44"/>
      <c r="G163" s="44" t="s">
        <v>1466</v>
      </c>
      <c r="H163" s="44" t="s">
        <v>2383</v>
      </c>
      <c r="I163" s="46" t="s">
        <v>632</v>
      </c>
      <c r="J163" s="46" t="s">
        <v>2378</v>
      </c>
      <c r="K163" s="46" t="s">
        <v>2184</v>
      </c>
      <c r="L163" s="46" t="s">
        <v>2117</v>
      </c>
      <c r="M163" s="46" t="s">
        <v>2379</v>
      </c>
      <c r="N163" s="46" t="s">
        <v>1476</v>
      </c>
      <c r="O163" s="44" t="s">
        <v>2380</v>
      </c>
      <c r="P163" s="44" t="s">
        <v>2381</v>
      </c>
      <c r="Q163" s="44" t="s">
        <v>1463</v>
      </c>
      <c r="R163" s="44" t="s">
        <v>1463</v>
      </c>
      <c r="S163" s="43"/>
      <c r="T163" s="51">
        <v>45541</v>
      </c>
    </row>
    <row r="164" spans="1:20" ht="26.45">
      <c r="A164" s="47" t="s">
        <v>637</v>
      </c>
      <c r="B164" s="47" t="s">
        <v>2384</v>
      </c>
      <c r="C164" s="48" t="s">
        <v>632</v>
      </c>
      <c r="D164" s="47" t="s">
        <v>1419</v>
      </c>
      <c r="E164" s="47" t="s">
        <v>1481</v>
      </c>
      <c r="F164" s="47"/>
      <c r="G164" s="47" t="s">
        <v>1466</v>
      </c>
      <c r="H164" s="47" t="s">
        <v>2385</v>
      </c>
      <c r="I164" s="50" t="s">
        <v>632</v>
      </c>
      <c r="J164" s="50" t="s">
        <v>2386</v>
      </c>
      <c r="K164" s="50" t="s">
        <v>1541</v>
      </c>
      <c r="L164" s="50" t="s">
        <v>1504</v>
      </c>
      <c r="M164" s="50" t="s">
        <v>2387</v>
      </c>
      <c r="N164" s="50" t="s">
        <v>1516</v>
      </c>
      <c r="O164" s="47" t="s">
        <v>2380</v>
      </c>
      <c r="P164" s="47" t="s">
        <v>2381</v>
      </c>
      <c r="Q164" s="47" t="s">
        <v>1463</v>
      </c>
      <c r="R164" s="47" t="s">
        <v>1463</v>
      </c>
      <c r="S164" s="43"/>
      <c r="T164" s="49">
        <v>45541</v>
      </c>
    </row>
    <row r="165" spans="1:20" ht="26.45">
      <c r="A165" s="44" t="s">
        <v>636</v>
      </c>
      <c r="B165" s="44" t="s">
        <v>2388</v>
      </c>
      <c r="C165" s="45" t="s">
        <v>632</v>
      </c>
      <c r="D165" s="44" t="s">
        <v>1419</v>
      </c>
      <c r="E165" s="44" t="s">
        <v>1481</v>
      </c>
      <c r="F165" s="44"/>
      <c r="G165" s="44" t="s">
        <v>1466</v>
      </c>
      <c r="H165" s="44" t="s">
        <v>2389</v>
      </c>
      <c r="I165" s="46" t="s">
        <v>632</v>
      </c>
      <c r="J165" s="46" t="s">
        <v>2378</v>
      </c>
      <c r="K165" s="46" t="s">
        <v>2184</v>
      </c>
      <c r="L165" s="46" t="s">
        <v>1474</v>
      </c>
      <c r="M165" s="46" t="s">
        <v>2379</v>
      </c>
      <c r="N165" s="46" t="s">
        <v>1476</v>
      </c>
      <c r="O165" s="44" t="s">
        <v>2380</v>
      </c>
      <c r="P165" s="44" t="s">
        <v>2381</v>
      </c>
      <c r="Q165" s="44" t="s">
        <v>1463</v>
      </c>
      <c r="R165" s="44" t="s">
        <v>1463</v>
      </c>
      <c r="S165" s="43"/>
      <c r="T165" s="51">
        <v>45541</v>
      </c>
    </row>
    <row r="166" spans="1:20" ht="26.45">
      <c r="A166" s="47" t="s">
        <v>633</v>
      </c>
      <c r="B166" s="47" t="s">
        <v>2390</v>
      </c>
      <c r="C166" s="48" t="s">
        <v>632</v>
      </c>
      <c r="D166" s="47" t="s">
        <v>1419</v>
      </c>
      <c r="E166" s="47" t="s">
        <v>1481</v>
      </c>
      <c r="F166" s="47"/>
      <c r="G166" s="47" t="s">
        <v>1466</v>
      </c>
      <c r="H166" s="47" t="s">
        <v>2391</v>
      </c>
      <c r="I166" s="50" t="s">
        <v>632</v>
      </c>
      <c r="J166" s="50" t="s">
        <v>2378</v>
      </c>
      <c r="K166" s="50" t="s">
        <v>2184</v>
      </c>
      <c r="L166" s="50" t="s">
        <v>2117</v>
      </c>
      <c r="M166" s="50" t="s">
        <v>2379</v>
      </c>
      <c r="N166" s="50" t="s">
        <v>1476</v>
      </c>
      <c r="O166" s="47" t="s">
        <v>2380</v>
      </c>
      <c r="P166" s="47" t="s">
        <v>2381</v>
      </c>
      <c r="Q166" s="47" t="s">
        <v>1463</v>
      </c>
      <c r="R166" s="47" t="s">
        <v>1463</v>
      </c>
      <c r="S166" s="43"/>
      <c r="T166" s="49">
        <v>45541</v>
      </c>
    </row>
    <row r="167" spans="1:20" ht="26.45">
      <c r="A167" s="44" t="s">
        <v>91</v>
      </c>
      <c r="B167" s="44" t="s">
        <v>2392</v>
      </c>
      <c r="C167" s="45" t="s">
        <v>632</v>
      </c>
      <c r="D167" s="44" t="s">
        <v>1419</v>
      </c>
      <c r="E167" s="44" t="s">
        <v>1481</v>
      </c>
      <c r="F167" s="44"/>
      <c r="G167" s="44" t="s">
        <v>1466</v>
      </c>
      <c r="H167" s="44" t="s">
        <v>2393</v>
      </c>
      <c r="I167" s="46" t="s">
        <v>632</v>
      </c>
      <c r="J167" s="46" t="s">
        <v>2378</v>
      </c>
      <c r="K167" s="46" t="s">
        <v>2184</v>
      </c>
      <c r="L167" s="46" t="s">
        <v>2117</v>
      </c>
      <c r="M167" s="46" t="s">
        <v>2379</v>
      </c>
      <c r="N167" s="46" t="s">
        <v>1476</v>
      </c>
      <c r="O167" s="44" t="s">
        <v>2380</v>
      </c>
      <c r="P167" s="44" t="s">
        <v>2381</v>
      </c>
      <c r="Q167" s="44" t="s">
        <v>1463</v>
      </c>
      <c r="R167" s="44" t="s">
        <v>1463</v>
      </c>
      <c r="S167" s="43"/>
      <c r="T167" s="51">
        <v>45541</v>
      </c>
    </row>
    <row r="168" spans="1:20" ht="26.45">
      <c r="A168" s="47" t="s">
        <v>631</v>
      </c>
      <c r="B168" s="47" t="s">
        <v>2394</v>
      </c>
      <c r="C168" s="48" t="s">
        <v>632</v>
      </c>
      <c r="D168" s="47" t="s">
        <v>1419</v>
      </c>
      <c r="E168" s="47" t="s">
        <v>1481</v>
      </c>
      <c r="F168" s="47"/>
      <c r="G168" s="47" t="s">
        <v>1466</v>
      </c>
      <c r="H168" s="47" t="s">
        <v>2395</v>
      </c>
      <c r="I168" s="50" t="s">
        <v>632</v>
      </c>
      <c r="J168" s="50" t="s">
        <v>2378</v>
      </c>
      <c r="K168" s="50" t="s">
        <v>2184</v>
      </c>
      <c r="L168" s="50" t="s">
        <v>2117</v>
      </c>
      <c r="M168" s="50" t="s">
        <v>2379</v>
      </c>
      <c r="N168" s="50" t="s">
        <v>1476</v>
      </c>
      <c r="O168" s="47" t="s">
        <v>2380</v>
      </c>
      <c r="P168" s="47" t="s">
        <v>2381</v>
      </c>
      <c r="Q168" s="47" t="s">
        <v>1463</v>
      </c>
      <c r="R168" s="47" t="s">
        <v>1463</v>
      </c>
      <c r="S168" s="43"/>
      <c r="T168" s="49">
        <v>45541</v>
      </c>
    </row>
    <row r="169" spans="1:20">
      <c r="A169" s="44" t="s">
        <v>2396</v>
      </c>
      <c r="B169" s="44" t="s">
        <v>2397</v>
      </c>
      <c r="C169" s="45" t="s">
        <v>632</v>
      </c>
      <c r="D169" s="44" t="s">
        <v>1419</v>
      </c>
      <c r="E169" s="44" t="s">
        <v>1481</v>
      </c>
      <c r="F169" s="44"/>
      <c r="G169" s="44" t="s">
        <v>1466</v>
      </c>
      <c r="H169" s="44"/>
      <c r="I169" s="46" t="s">
        <v>632</v>
      </c>
      <c r="J169" s="46" t="s">
        <v>2398</v>
      </c>
      <c r="K169" s="46" t="s">
        <v>2184</v>
      </c>
      <c r="L169" s="46" t="s">
        <v>1474</v>
      </c>
      <c r="M169" s="46" t="s">
        <v>2387</v>
      </c>
      <c r="N169" s="46" t="s">
        <v>1516</v>
      </c>
      <c r="O169" s="44" t="s">
        <v>2380</v>
      </c>
      <c r="P169" s="44"/>
      <c r="Q169" s="44" t="s">
        <v>1463</v>
      </c>
      <c r="R169" s="44" t="s">
        <v>1463</v>
      </c>
      <c r="S169" s="43"/>
      <c r="T169" s="51">
        <v>44313</v>
      </c>
    </row>
    <row r="170" spans="1:20" ht="26.45">
      <c r="A170" s="47" t="s">
        <v>92</v>
      </c>
      <c r="B170" s="47" t="s">
        <v>2399</v>
      </c>
      <c r="C170" s="48" t="s">
        <v>632</v>
      </c>
      <c r="D170" s="47" t="s">
        <v>1419</v>
      </c>
      <c r="E170" s="47" t="s">
        <v>1481</v>
      </c>
      <c r="F170" s="47"/>
      <c r="G170" s="47" t="s">
        <v>1466</v>
      </c>
      <c r="H170" s="47" t="s">
        <v>2400</v>
      </c>
      <c r="I170" s="50" t="s">
        <v>632</v>
      </c>
      <c r="J170" s="50" t="s">
        <v>2401</v>
      </c>
      <c r="K170" s="50" t="s">
        <v>2184</v>
      </c>
      <c r="L170" s="50" t="s">
        <v>1474</v>
      </c>
      <c r="M170" s="50" t="s">
        <v>2379</v>
      </c>
      <c r="N170" s="50" t="s">
        <v>1476</v>
      </c>
      <c r="O170" s="47" t="s">
        <v>2380</v>
      </c>
      <c r="P170" s="47" t="s">
        <v>2381</v>
      </c>
      <c r="Q170" s="47" t="s">
        <v>1463</v>
      </c>
      <c r="R170" s="47" t="s">
        <v>1463</v>
      </c>
      <c r="S170" s="43"/>
      <c r="T170" s="49">
        <v>45541</v>
      </c>
    </row>
    <row r="171" spans="1:20" ht="26.45">
      <c r="A171" s="44" t="s">
        <v>634</v>
      </c>
      <c r="B171" s="44" t="s">
        <v>2402</v>
      </c>
      <c r="C171" s="45" t="s">
        <v>632</v>
      </c>
      <c r="D171" s="44" t="s">
        <v>1419</v>
      </c>
      <c r="E171" s="44" t="s">
        <v>1481</v>
      </c>
      <c r="F171" s="44"/>
      <c r="G171" s="44" t="s">
        <v>1466</v>
      </c>
      <c r="H171" s="44" t="s">
        <v>2403</v>
      </c>
      <c r="I171" s="46" t="s">
        <v>632</v>
      </c>
      <c r="J171" s="46" t="s">
        <v>2378</v>
      </c>
      <c r="K171" s="46" t="s">
        <v>2184</v>
      </c>
      <c r="L171" s="46" t="s">
        <v>2117</v>
      </c>
      <c r="M171" s="46" t="s">
        <v>2379</v>
      </c>
      <c r="N171" s="46" t="s">
        <v>1476</v>
      </c>
      <c r="O171" s="44" t="s">
        <v>2380</v>
      </c>
      <c r="P171" s="44" t="s">
        <v>2381</v>
      </c>
      <c r="Q171" s="44" t="s">
        <v>1463</v>
      </c>
      <c r="R171" s="44" t="s">
        <v>1463</v>
      </c>
      <c r="S171" s="43"/>
      <c r="T171" s="51">
        <v>45541</v>
      </c>
    </row>
    <row r="172" spans="1:20" ht="26.45">
      <c r="A172" s="47" t="s">
        <v>628</v>
      </c>
      <c r="B172" s="47" t="s">
        <v>2404</v>
      </c>
      <c r="C172" s="48" t="s">
        <v>629</v>
      </c>
      <c r="D172" s="47" t="s">
        <v>1410</v>
      </c>
      <c r="E172" s="47" t="s">
        <v>1481</v>
      </c>
      <c r="F172" s="47"/>
      <c r="G172" s="47" t="s">
        <v>1466</v>
      </c>
      <c r="H172" s="47" t="s">
        <v>2405</v>
      </c>
      <c r="I172" s="50" t="s">
        <v>632</v>
      </c>
      <c r="J172" s="50" t="s">
        <v>2386</v>
      </c>
      <c r="K172" s="50" t="s">
        <v>1541</v>
      </c>
      <c r="L172" s="50" t="s">
        <v>1504</v>
      </c>
      <c r="M172" s="50" t="s">
        <v>2387</v>
      </c>
      <c r="N172" s="50" t="s">
        <v>1516</v>
      </c>
      <c r="O172" s="47" t="s">
        <v>2380</v>
      </c>
      <c r="P172" s="47" t="s">
        <v>2381</v>
      </c>
      <c r="Q172" s="47" t="s">
        <v>1463</v>
      </c>
      <c r="R172" s="47" t="s">
        <v>1463</v>
      </c>
      <c r="S172" s="43"/>
      <c r="T172" s="49">
        <v>45541</v>
      </c>
    </row>
    <row r="173" spans="1:20" ht="26.45">
      <c r="A173" s="44" t="s">
        <v>2406</v>
      </c>
      <c r="B173" s="44" t="s">
        <v>2407</v>
      </c>
      <c r="C173" s="45" t="s">
        <v>2408</v>
      </c>
      <c r="D173" s="44" t="s">
        <v>1419</v>
      </c>
      <c r="E173" s="44" t="s">
        <v>1481</v>
      </c>
      <c r="F173" s="44"/>
      <c r="G173" s="44" t="s">
        <v>1466</v>
      </c>
      <c r="H173" s="44" t="s">
        <v>2409</v>
      </c>
      <c r="I173" s="46" t="s">
        <v>632</v>
      </c>
      <c r="J173" s="46" t="s">
        <v>2386</v>
      </c>
      <c r="K173" s="46" t="s">
        <v>1541</v>
      </c>
      <c r="L173" s="46" t="s">
        <v>1504</v>
      </c>
      <c r="M173" s="46" t="s">
        <v>2387</v>
      </c>
      <c r="N173" s="46" t="s">
        <v>1516</v>
      </c>
      <c r="O173" s="44" t="s">
        <v>2380</v>
      </c>
      <c r="P173" s="44" t="s">
        <v>2381</v>
      </c>
      <c r="Q173" s="44" t="s">
        <v>1463</v>
      </c>
      <c r="R173" s="44" t="s">
        <v>1463</v>
      </c>
      <c r="S173" s="43"/>
      <c r="T173" s="51">
        <v>45541</v>
      </c>
    </row>
    <row r="174" spans="1:20" ht="26.45">
      <c r="A174" s="47" t="s">
        <v>93</v>
      </c>
      <c r="B174" s="47" t="s">
        <v>2410</v>
      </c>
      <c r="C174" s="48" t="s">
        <v>630</v>
      </c>
      <c r="D174" s="47" t="s">
        <v>1419</v>
      </c>
      <c r="E174" s="47" t="s">
        <v>1481</v>
      </c>
      <c r="F174" s="47"/>
      <c r="G174" s="47" t="s">
        <v>1466</v>
      </c>
      <c r="H174" s="47" t="s">
        <v>2411</v>
      </c>
      <c r="I174" s="50" t="s">
        <v>632</v>
      </c>
      <c r="J174" s="50" t="s">
        <v>2378</v>
      </c>
      <c r="K174" s="50" t="s">
        <v>2184</v>
      </c>
      <c r="L174" s="50" t="s">
        <v>2117</v>
      </c>
      <c r="M174" s="50" t="s">
        <v>2379</v>
      </c>
      <c r="N174" s="50" t="s">
        <v>1476</v>
      </c>
      <c r="O174" s="47" t="s">
        <v>2380</v>
      </c>
      <c r="P174" s="47" t="s">
        <v>2381</v>
      </c>
      <c r="Q174" s="47" t="s">
        <v>1463</v>
      </c>
      <c r="R174" s="47" t="s">
        <v>1463</v>
      </c>
      <c r="S174" s="43"/>
      <c r="T174" s="49">
        <v>45541</v>
      </c>
    </row>
    <row r="175" spans="1:20">
      <c r="A175" s="44" t="s">
        <v>2412</v>
      </c>
      <c r="B175" s="44" t="s">
        <v>2413</v>
      </c>
      <c r="C175" s="45" t="s">
        <v>2414</v>
      </c>
      <c r="D175" s="44" t="s">
        <v>1419</v>
      </c>
      <c r="E175" s="44" t="s">
        <v>1481</v>
      </c>
      <c r="F175" s="44"/>
      <c r="G175" s="44" t="s">
        <v>1461</v>
      </c>
      <c r="H175" s="44"/>
      <c r="I175" s="46"/>
      <c r="J175" s="46"/>
      <c r="K175" s="46"/>
      <c r="L175" s="46"/>
      <c r="M175" s="46"/>
      <c r="N175" s="46"/>
      <c r="O175" s="44"/>
      <c r="P175" s="44"/>
      <c r="Q175" s="44" t="s">
        <v>1463</v>
      </c>
      <c r="R175" s="44" t="s">
        <v>1463</v>
      </c>
      <c r="S175" s="43"/>
      <c r="T175" s="44"/>
    </row>
    <row r="176" spans="1:20" ht="26.45">
      <c r="A176" s="47" t="s">
        <v>94</v>
      </c>
      <c r="B176" s="47" t="s">
        <v>2415</v>
      </c>
      <c r="C176" s="48" t="s">
        <v>638</v>
      </c>
      <c r="D176" s="47" t="s">
        <v>1419</v>
      </c>
      <c r="E176" s="47" t="s">
        <v>1481</v>
      </c>
      <c r="F176" s="47"/>
      <c r="G176" s="47" t="s">
        <v>1687</v>
      </c>
      <c r="H176" s="47" t="s">
        <v>2416</v>
      </c>
      <c r="I176" s="50" t="s">
        <v>2417</v>
      </c>
      <c r="J176" s="50" t="s">
        <v>2418</v>
      </c>
      <c r="K176" s="50" t="s">
        <v>1691</v>
      </c>
      <c r="L176" s="50" t="s">
        <v>1504</v>
      </c>
      <c r="M176" s="50" t="s">
        <v>2419</v>
      </c>
      <c r="N176" s="50" t="s">
        <v>1629</v>
      </c>
      <c r="O176" s="47" t="s">
        <v>2420</v>
      </c>
      <c r="P176" s="47" t="s">
        <v>2421</v>
      </c>
      <c r="Q176" s="47" t="s">
        <v>1695</v>
      </c>
      <c r="R176" s="47" t="s">
        <v>1463</v>
      </c>
      <c r="S176" s="43"/>
      <c r="T176" s="49">
        <v>45301</v>
      </c>
    </row>
    <row r="177" spans="1:20" ht="26.45">
      <c r="A177" s="44" t="s">
        <v>639</v>
      </c>
      <c r="B177" s="44" t="s">
        <v>2422</v>
      </c>
      <c r="C177" s="45" t="s">
        <v>640</v>
      </c>
      <c r="D177" s="44" t="s">
        <v>1419</v>
      </c>
      <c r="E177" s="44" t="s">
        <v>1481</v>
      </c>
      <c r="F177" s="44"/>
      <c r="G177" s="44" t="s">
        <v>1466</v>
      </c>
      <c r="H177" s="44" t="s">
        <v>2423</v>
      </c>
      <c r="I177" s="46" t="s">
        <v>640</v>
      </c>
      <c r="J177" s="46" t="s">
        <v>2424</v>
      </c>
      <c r="K177" s="46" t="s">
        <v>1493</v>
      </c>
      <c r="L177" s="46" t="s">
        <v>1474</v>
      </c>
      <c r="M177" s="46" t="s">
        <v>2425</v>
      </c>
      <c r="N177" s="46" t="s">
        <v>1629</v>
      </c>
      <c r="O177" s="44" t="s">
        <v>2426</v>
      </c>
      <c r="P177" s="44" t="s">
        <v>2427</v>
      </c>
      <c r="Q177" s="44" t="s">
        <v>1463</v>
      </c>
      <c r="R177" s="44" t="s">
        <v>1463</v>
      </c>
      <c r="S177" s="43"/>
      <c r="T177" s="51">
        <v>45503</v>
      </c>
    </row>
    <row r="178" spans="1:20">
      <c r="A178" s="47" t="s">
        <v>2428</v>
      </c>
      <c r="B178" s="47" t="s">
        <v>2429</v>
      </c>
      <c r="C178" s="48" t="s">
        <v>2430</v>
      </c>
      <c r="D178" s="47" t="s">
        <v>1430</v>
      </c>
      <c r="E178" s="47" t="s">
        <v>1481</v>
      </c>
      <c r="F178" s="47"/>
      <c r="G178" s="47" t="s">
        <v>1618</v>
      </c>
      <c r="H178" s="47"/>
      <c r="I178" s="50" t="s">
        <v>2430</v>
      </c>
      <c r="J178" s="50" t="s">
        <v>2431</v>
      </c>
      <c r="K178" s="50" t="s">
        <v>2432</v>
      </c>
      <c r="L178" s="50" t="s">
        <v>1504</v>
      </c>
      <c r="M178" s="50" t="s">
        <v>2433</v>
      </c>
      <c r="N178" s="50" t="s">
        <v>1641</v>
      </c>
      <c r="O178" s="47" t="s">
        <v>2434</v>
      </c>
      <c r="P178" s="47"/>
      <c r="Q178" s="47" t="s">
        <v>1463</v>
      </c>
      <c r="R178" s="47" t="s">
        <v>1463</v>
      </c>
      <c r="S178" s="43"/>
      <c r="T178" s="49">
        <v>43164</v>
      </c>
    </row>
    <row r="179" spans="1:20">
      <c r="A179" s="44" t="s">
        <v>2435</v>
      </c>
      <c r="B179" s="44"/>
      <c r="C179" s="45" t="s">
        <v>2436</v>
      </c>
      <c r="D179" s="44" t="s">
        <v>1419</v>
      </c>
      <c r="E179" s="44" t="s">
        <v>1460</v>
      </c>
      <c r="F179" s="51">
        <v>41474.6458466435</v>
      </c>
      <c r="G179" s="44" t="s">
        <v>1663</v>
      </c>
      <c r="H179" s="44"/>
      <c r="I179" s="46"/>
      <c r="J179" s="46"/>
      <c r="K179" s="46"/>
      <c r="L179" s="46"/>
      <c r="M179" s="46"/>
      <c r="N179" s="46"/>
      <c r="O179" s="44"/>
      <c r="P179" s="44"/>
      <c r="Q179" s="44" t="s">
        <v>1463</v>
      </c>
      <c r="R179" s="44" t="s">
        <v>1463</v>
      </c>
      <c r="S179" s="43"/>
      <c r="T179" s="44"/>
    </row>
    <row r="180" spans="1:20" ht="26.45">
      <c r="A180" s="47" t="s">
        <v>641</v>
      </c>
      <c r="B180" s="47" t="s">
        <v>2437</v>
      </c>
      <c r="C180" s="48" t="s">
        <v>642</v>
      </c>
      <c r="D180" s="47" t="s">
        <v>1419</v>
      </c>
      <c r="E180" s="47" t="s">
        <v>1481</v>
      </c>
      <c r="F180" s="47"/>
      <c r="G180" s="47" t="s">
        <v>1466</v>
      </c>
      <c r="H180" s="47" t="s">
        <v>2438</v>
      </c>
      <c r="I180" s="50" t="s">
        <v>642</v>
      </c>
      <c r="J180" s="50" t="s">
        <v>2439</v>
      </c>
      <c r="K180" s="50" t="s">
        <v>1975</v>
      </c>
      <c r="L180" s="50" t="s">
        <v>1504</v>
      </c>
      <c r="M180" s="50" t="s">
        <v>2440</v>
      </c>
      <c r="N180" s="50" t="s">
        <v>1516</v>
      </c>
      <c r="O180" s="47" t="s">
        <v>2441</v>
      </c>
      <c r="P180" s="47" t="s">
        <v>2442</v>
      </c>
      <c r="Q180" s="47" t="s">
        <v>1463</v>
      </c>
      <c r="R180" s="47" t="s">
        <v>1463</v>
      </c>
      <c r="S180" s="43"/>
      <c r="T180" s="49">
        <v>45380</v>
      </c>
    </row>
    <row r="181" spans="1:20" ht="26.45">
      <c r="A181" s="44" t="s">
        <v>643</v>
      </c>
      <c r="B181" s="44" t="s">
        <v>2443</v>
      </c>
      <c r="C181" s="45" t="s">
        <v>644</v>
      </c>
      <c r="D181" s="44" t="s">
        <v>1419</v>
      </c>
      <c r="E181" s="44" t="s">
        <v>1481</v>
      </c>
      <c r="F181" s="44"/>
      <c r="G181" s="44" t="s">
        <v>1663</v>
      </c>
      <c r="H181" s="44" t="s">
        <v>2444</v>
      </c>
      <c r="I181" s="46" t="s">
        <v>2445</v>
      </c>
      <c r="J181" s="46" t="s">
        <v>2446</v>
      </c>
      <c r="K181" s="46" t="s">
        <v>1493</v>
      </c>
      <c r="L181" s="46" t="s">
        <v>1504</v>
      </c>
      <c r="M181" s="46" t="s">
        <v>2447</v>
      </c>
      <c r="N181" s="46" t="s">
        <v>1629</v>
      </c>
      <c r="O181" s="44" t="s">
        <v>2448</v>
      </c>
      <c r="P181" s="44" t="s">
        <v>2449</v>
      </c>
      <c r="Q181" s="44" t="s">
        <v>1463</v>
      </c>
      <c r="R181" s="44" t="s">
        <v>1463</v>
      </c>
      <c r="S181" s="43"/>
      <c r="T181" s="51">
        <v>45345</v>
      </c>
    </row>
    <row r="182" spans="1:20" ht="26.45">
      <c r="A182" s="47" t="s">
        <v>2450</v>
      </c>
      <c r="B182" s="47" t="s">
        <v>2451</v>
      </c>
      <c r="C182" s="48" t="s">
        <v>2452</v>
      </c>
      <c r="D182" s="47" t="s">
        <v>1425</v>
      </c>
      <c r="E182" s="47" t="s">
        <v>1481</v>
      </c>
      <c r="F182" s="47"/>
      <c r="G182" s="47" t="s">
        <v>1466</v>
      </c>
      <c r="H182" s="47" t="s">
        <v>2453</v>
      </c>
      <c r="I182" s="50" t="s">
        <v>2454</v>
      </c>
      <c r="J182" s="50" t="s">
        <v>2455</v>
      </c>
      <c r="K182" s="50" t="s">
        <v>1425</v>
      </c>
      <c r="L182" s="50" t="s">
        <v>1504</v>
      </c>
      <c r="M182" s="50" t="s">
        <v>2456</v>
      </c>
      <c r="N182" s="50" t="s">
        <v>1629</v>
      </c>
      <c r="O182" s="47" t="s">
        <v>2457</v>
      </c>
      <c r="P182" s="47" t="s">
        <v>2458</v>
      </c>
      <c r="Q182" s="47" t="s">
        <v>1463</v>
      </c>
      <c r="R182" s="47" t="s">
        <v>1463</v>
      </c>
      <c r="S182" s="43"/>
      <c r="T182" s="49">
        <v>45188</v>
      </c>
    </row>
    <row r="183" spans="1:20">
      <c r="A183" s="44" t="s">
        <v>2459</v>
      </c>
      <c r="B183" s="44"/>
      <c r="C183" s="45" t="s">
        <v>2460</v>
      </c>
      <c r="D183" s="44" t="s">
        <v>1414</v>
      </c>
      <c r="E183" s="44" t="s">
        <v>1460</v>
      </c>
      <c r="F183" s="44"/>
      <c r="G183" s="44" t="s">
        <v>1466</v>
      </c>
      <c r="H183" s="44"/>
      <c r="I183" s="46"/>
      <c r="J183" s="46"/>
      <c r="K183" s="46"/>
      <c r="L183" s="46"/>
      <c r="M183" s="46"/>
      <c r="N183" s="46"/>
      <c r="O183" s="44"/>
      <c r="P183" s="44"/>
      <c r="Q183" s="44" t="s">
        <v>1463</v>
      </c>
      <c r="R183" s="44" t="s">
        <v>1463</v>
      </c>
      <c r="S183" s="43"/>
      <c r="T183" s="44"/>
    </row>
    <row r="184" spans="1:20" ht="26.45">
      <c r="A184" s="47" t="s">
        <v>95</v>
      </c>
      <c r="B184" s="47" t="s">
        <v>2461</v>
      </c>
      <c r="C184" s="48" t="s">
        <v>645</v>
      </c>
      <c r="D184" s="47" t="s">
        <v>1414</v>
      </c>
      <c r="E184" s="47" t="s">
        <v>1481</v>
      </c>
      <c r="F184" s="47"/>
      <c r="G184" s="47" t="s">
        <v>1687</v>
      </c>
      <c r="H184" s="47" t="s">
        <v>2462</v>
      </c>
      <c r="I184" s="50" t="s">
        <v>2463</v>
      </c>
      <c r="J184" s="50" t="s">
        <v>2464</v>
      </c>
      <c r="K184" s="50" t="s">
        <v>2465</v>
      </c>
      <c r="L184" s="50" t="s">
        <v>1504</v>
      </c>
      <c r="M184" s="50" t="s">
        <v>2466</v>
      </c>
      <c r="N184" s="50" t="s">
        <v>1495</v>
      </c>
      <c r="O184" s="47" t="s">
        <v>2467</v>
      </c>
      <c r="P184" s="47" t="s">
        <v>2468</v>
      </c>
      <c r="Q184" s="47" t="s">
        <v>1695</v>
      </c>
      <c r="R184" s="47" t="s">
        <v>1463</v>
      </c>
      <c r="S184" s="43"/>
      <c r="T184" s="49">
        <v>45575</v>
      </c>
    </row>
    <row r="185" spans="1:20">
      <c r="A185" s="44" t="s">
        <v>2469</v>
      </c>
      <c r="B185" s="44" t="s">
        <v>2470</v>
      </c>
      <c r="C185" s="45" t="s">
        <v>2471</v>
      </c>
      <c r="D185" s="44" t="s">
        <v>1419</v>
      </c>
      <c r="E185" s="44" t="s">
        <v>1481</v>
      </c>
      <c r="F185" s="44"/>
      <c r="G185" s="44" t="s">
        <v>1461</v>
      </c>
      <c r="H185" s="44"/>
      <c r="I185" s="46"/>
      <c r="J185" s="46"/>
      <c r="K185" s="46"/>
      <c r="L185" s="46"/>
      <c r="M185" s="46"/>
      <c r="N185" s="46"/>
      <c r="O185" s="44"/>
      <c r="P185" s="44"/>
      <c r="Q185" s="44" t="s">
        <v>1463</v>
      </c>
      <c r="R185" s="44" t="s">
        <v>1463</v>
      </c>
      <c r="S185" s="43"/>
      <c r="T185" s="44"/>
    </row>
    <row r="186" spans="1:20">
      <c r="A186" s="47" t="s">
        <v>2472</v>
      </c>
      <c r="B186" s="47" t="s">
        <v>2473</v>
      </c>
      <c r="C186" s="48" t="s">
        <v>2474</v>
      </c>
      <c r="D186" s="47" t="s">
        <v>1419</v>
      </c>
      <c r="E186" s="47" t="s">
        <v>1481</v>
      </c>
      <c r="F186" s="47"/>
      <c r="G186" s="47" t="s">
        <v>1466</v>
      </c>
      <c r="H186" s="47" t="s">
        <v>2475</v>
      </c>
      <c r="I186" s="50" t="s">
        <v>2474</v>
      </c>
      <c r="J186" s="50"/>
      <c r="K186" s="50"/>
      <c r="L186" s="50"/>
      <c r="M186" s="50"/>
      <c r="N186" s="50"/>
      <c r="O186" s="47"/>
      <c r="P186" s="47"/>
      <c r="Q186" s="47" t="s">
        <v>1463</v>
      </c>
      <c r="R186" s="47" t="s">
        <v>1463</v>
      </c>
      <c r="S186" s="43"/>
      <c r="T186" s="47"/>
    </row>
    <row r="187" spans="1:20" ht="26.45">
      <c r="A187" s="44" t="s">
        <v>96</v>
      </c>
      <c r="B187" s="44" t="s">
        <v>2476</v>
      </c>
      <c r="C187" s="45" t="s">
        <v>646</v>
      </c>
      <c r="D187" s="44" t="s">
        <v>1420</v>
      </c>
      <c r="E187" s="44" t="s">
        <v>1481</v>
      </c>
      <c r="F187" s="44"/>
      <c r="G187" s="44" t="s">
        <v>1687</v>
      </c>
      <c r="H187" s="44" t="s">
        <v>2477</v>
      </c>
      <c r="I187" s="46" t="s">
        <v>2478</v>
      </c>
      <c r="J187" s="46" t="s">
        <v>2479</v>
      </c>
      <c r="K187" s="46" t="s">
        <v>2480</v>
      </c>
      <c r="L187" s="46" t="s">
        <v>1474</v>
      </c>
      <c r="M187" s="46" t="s">
        <v>2481</v>
      </c>
      <c r="N187" s="46" t="s">
        <v>1476</v>
      </c>
      <c r="O187" s="44" t="s">
        <v>2482</v>
      </c>
      <c r="P187" s="44" t="s">
        <v>2483</v>
      </c>
      <c r="Q187" s="44" t="s">
        <v>1695</v>
      </c>
      <c r="R187" s="44" t="s">
        <v>1463</v>
      </c>
      <c r="S187" s="43"/>
      <c r="T187" s="51">
        <v>45331</v>
      </c>
    </row>
    <row r="188" spans="1:20" ht="26.45">
      <c r="A188" s="47" t="s">
        <v>97</v>
      </c>
      <c r="B188" s="47" t="s">
        <v>2484</v>
      </c>
      <c r="C188" s="48" t="s">
        <v>647</v>
      </c>
      <c r="D188" s="47" t="s">
        <v>1419</v>
      </c>
      <c r="E188" s="47" t="s">
        <v>1481</v>
      </c>
      <c r="F188" s="47"/>
      <c r="G188" s="47" t="s">
        <v>1466</v>
      </c>
      <c r="H188" s="47" t="s">
        <v>2485</v>
      </c>
      <c r="I188" s="50" t="s">
        <v>2486</v>
      </c>
      <c r="J188" s="50" t="s">
        <v>2487</v>
      </c>
      <c r="K188" s="50" t="s">
        <v>1975</v>
      </c>
      <c r="L188" s="50" t="s">
        <v>1504</v>
      </c>
      <c r="M188" s="50" t="s">
        <v>2488</v>
      </c>
      <c r="N188" s="50" t="s">
        <v>1476</v>
      </c>
      <c r="O188" s="47" t="s">
        <v>2489</v>
      </c>
      <c r="P188" s="47" t="s">
        <v>2490</v>
      </c>
      <c r="Q188" s="47" t="s">
        <v>1463</v>
      </c>
      <c r="R188" s="47" t="s">
        <v>1463</v>
      </c>
      <c r="S188" s="43"/>
      <c r="T188" s="49">
        <v>45551</v>
      </c>
    </row>
    <row r="189" spans="1:20" ht="26.45">
      <c r="A189" s="44" t="s">
        <v>98</v>
      </c>
      <c r="B189" s="44" t="s">
        <v>2491</v>
      </c>
      <c r="C189" s="45" t="s">
        <v>648</v>
      </c>
      <c r="D189" s="44" t="s">
        <v>1419</v>
      </c>
      <c r="E189" s="44" t="s">
        <v>1481</v>
      </c>
      <c r="F189" s="44"/>
      <c r="G189" s="44" t="s">
        <v>1466</v>
      </c>
      <c r="H189" s="44" t="s">
        <v>2492</v>
      </c>
      <c r="I189" s="46" t="s">
        <v>648</v>
      </c>
      <c r="J189" s="46" t="s">
        <v>2493</v>
      </c>
      <c r="K189" s="46" t="s">
        <v>1493</v>
      </c>
      <c r="L189" s="46" t="s">
        <v>1474</v>
      </c>
      <c r="M189" s="46" t="s">
        <v>2494</v>
      </c>
      <c r="N189" s="46" t="s">
        <v>1525</v>
      </c>
      <c r="O189" s="44" t="s">
        <v>2495</v>
      </c>
      <c r="P189" s="44" t="s">
        <v>2496</v>
      </c>
      <c r="Q189" s="44" t="s">
        <v>1463</v>
      </c>
      <c r="R189" s="44" t="s">
        <v>1463</v>
      </c>
      <c r="S189" s="43"/>
      <c r="T189" s="51">
        <v>45580</v>
      </c>
    </row>
    <row r="190" spans="1:20" ht="26.45">
      <c r="A190" s="47" t="s">
        <v>99</v>
      </c>
      <c r="B190" s="47" t="s">
        <v>2497</v>
      </c>
      <c r="C190" s="48" t="s">
        <v>649</v>
      </c>
      <c r="D190" s="47" t="s">
        <v>1419</v>
      </c>
      <c r="E190" s="47" t="s">
        <v>1481</v>
      </c>
      <c r="F190" s="47"/>
      <c r="G190" s="47" t="s">
        <v>1466</v>
      </c>
      <c r="H190" s="47" t="s">
        <v>2498</v>
      </c>
      <c r="I190" s="50" t="s">
        <v>2499</v>
      </c>
      <c r="J190" s="50" t="s">
        <v>2500</v>
      </c>
      <c r="K190" s="50" t="s">
        <v>1888</v>
      </c>
      <c r="L190" s="50" t="s">
        <v>1474</v>
      </c>
      <c r="M190" s="50" t="s">
        <v>2501</v>
      </c>
      <c r="N190" s="50" t="s">
        <v>1744</v>
      </c>
      <c r="O190" s="47" t="s">
        <v>2502</v>
      </c>
      <c r="P190" s="47" t="s">
        <v>2503</v>
      </c>
      <c r="Q190" s="47" t="s">
        <v>1463</v>
      </c>
      <c r="R190" s="47" t="s">
        <v>1463</v>
      </c>
      <c r="S190" s="43"/>
      <c r="T190" s="49">
        <v>45551</v>
      </c>
    </row>
    <row r="191" spans="1:20" ht="26.45">
      <c r="A191" s="44" t="s">
        <v>100</v>
      </c>
      <c r="B191" s="44" t="s">
        <v>2504</v>
      </c>
      <c r="C191" s="45" t="s">
        <v>650</v>
      </c>
      <c r="D191" s="44" t="s">
        <v>1419</v>
      </c>
      <c r="E191" s="44" t="s">
        <v>1481</v>
      </c>
      <c r="F191" s="44"/>
      <c r="G191" s="44" t="s">
        <v>1687</v>
      </c>
      <c r="H191" s="44" t="s">
        <v>2505</v>
      </c>
      <c r="I191" s="46" t="s">
        <v>2506</v>
      </c>
      <c r="J191" s="46" t="s">
        <v>2507</v>
      </c>
      <c r="K191" s="46" t="s">
        <v>1493</v>
      </c>
      <c r="L191" s="46" t="s">
        <v>1504</v>
      </c>
      <c r="M191" s="46" t="s">
        <v>2508</v>
      </c>
      <c r="N191" s="46" t="s">
        <v>1495</v>
      </c>
      <c r="O191" s="44" t="s">
        <v>2509</v>
      </c>
      <c r="P191" s="44" t="s">
        <v>2510</v>
      </c>
      <c r="Q191" s="44" t="s">
        <v>1695</v>
      </c>
      <c r="R191" s="44" t="s">
        <v>1463</v>
      </c>
      <c r="S191" s="43"/>
      <c r="T191" s="51">
        <v>45523</v>
      </c>
    </row>
    <row r="192" spans="1:20" ht="26.45">
      <c r="A192" s="47" t="s">
        <v>101</v>
      </c>
      <c r="B192" s="47" t="s">
        <v>2511</v>
      </c>
      <c r="C192" s="48" t="s">
        <v>652</v>
      </c>
      <c r="D192" s="47" t="s">
        <v>1430</v>
      </c>
      <c r="E192" s="47" t="s">
        <v>1481</v>
      </c>
      <c r="F192" s="47"/>
      <c r="G192" s="47" t="s">
        <v>1466</v>
      </c>
      <c r="H192" s="47" t="s">
        <v>2512</v>
      </c>
      <c r="I192" s="50" t="s">
        <v>2513</v>
      </c>
      <c r="J192" s="50" t="s">
        <v>2514</v>
      </c>
      <c r="K192" s="50" t="s">
        <v>2061</v>
      </c>
      <c r="L192" s="50" t="s">
        <v>1504</v>
      </c>
      <c r="M192" s="50" t="s">
        <v>2515</v>
      </c>
      <c r="N192" s="50" t="s">
        <v>1641</v>
      </c>
      <c r="O192" s="47" t="s">
        <v>2516</v>
      </c>
      <c r="P192" s="47" t="s">
        <v>2517</v>
      </c>
      <c r="Q192" s="47" t="s">
        <v>1463</v>
      </c>
      <c r="R192" s="47" t="s">
        <v>1463</v>
      </c>
      <c r="S192" s="43"/>
      <c r="T192" s="49">
        <v>45581</v>
      </c>
    </row>
    <row r="193" spans="1:20" ht="26.45">
      <c r="A193" s="44" t="s">
        <v>657</v>
      </c>
      <c r="B193" s="44" t="s">
        <v>2518</v>
      </c>
      <c r="C193" s="45" t="s">
        <v>652</v>
      </c>
      <c r="D193" s="44" t="s">
        <v>1419</v>
      </c>
      <c r="E193" s="44" t="s">
        <v>1481</v>
      </c>
      <c r="F193" s="44"/>
      <c r="G193" s="44" t="s">
        <v>1466</v>
      </c>
      <c r="H193" s="44" t="s">
        <v>2519</v>
      </c>
      <c r="I193" s="46" t="s">
        <v>2513</v>
      </c>
      <c r="J193" s="46" t="s">
        <v>2514</v>
      </c>
      <c r="K193" s="46" t="s">
        <v>2061</v>
      </c>
      <c r="L193" s="46" t="s">
        <v>1504</v>
      </c>
      <c r="M193" s="46" t="s">
        <v>2515</v>
      </c>
      <c r="N193" s="46" t="s">
        <v>1641</v>
      </c>
      <c r="O193" s="44" t="s">
        <v>2516</v>
      </c>
      <c r="P193" s="44" t="s">
        <v>2517</v>
      </c>
      <c r="Q193" s="44" t="s">
        <v>1463</v>
      </c>
      <c r="R193" s="44" t="s">
        <v>1463</v>
      </c>
      <c r="S193" s="43"/>
      <c r="T193" s="51">
        <v>45581</v>
      </c>
    </row>
    <row r="194" spans="1:20" ht="26.45">
      <c r="A194" s="47" t="s">
        <v>102</v>
      </c>
      <c r="B194" s="47" t="s">
        <v>2520</v>
      </c>
      <c r="C194" s="48" t="s">
        <v>652</v>
      </c>
      <c r="D194" s="47" t="s">
        <v>1419</v>
      </c>
      <c r="E194" s="47" t="s">
        <v>1481</v>
      </c>
      <c r="F194" s="47"/>
      <c r="G194" s="47" t="s">
        <v>1466</v>
      </c>
      <c r="H194" s="47" t="s">
        <v>2521</v>
      </c>
      <c r="I194" s="50" t="s">
        <v>2513</v>
      </c>
      <c r="J194" s="50" t="s">
        <v>2514</v>
      </c>
      <c r="K194" s="50" t="s">
        <v>2061</v>
      </c>
      <c r="L194" s="50" t="s">
        <v>1504</v>
      </c>
      <c r="M194" s="50" t="s">
        <v>2515</v>
      </c>
      <c r="N194" s="50" t="s">
        <v>1641</v>
      </c>
      <c r="O194" s="47" t="s">
        <v>2516</v>
      </c>
      <c r="P194" s="47" t="s">
        <v>2517</v>
      </c>
      <c r="Q194" s="47" t="s">
        <v>1463</v>
      </c>
      <c r="R194" s="47" t="s">
        <v>1463</v>
      </c>
      <c r="S194" s="43"/>
      <c r="T194" s="49">
        <v>45581</v>
      </c>
    </row>
    <row r="195" spans="1:20" ht="26.45">
      <c r="A195" s="44" t="s">
        <v>103</v>
      </c>
      <c r="B195" s="44" t="s">
        <v>2522</v>
      </c>
      <c r="C195" s="45" t="s">
        <v>652</v>
      </c>
      <c r="D195" s="44" t="s">
        <v>1419</v>
      </c>
      <c r="E195" s="44" t="s">
        <v>1481</v>
      </c>
      <c r="F195" s="44"/>
      <c r="G195" s="44" t="s">
        <v>1466</v>
      </c>
      <c r="H195" s="44" t="s">
        <v>2523</v>
      </c>
      <c r="I195" s="46" t="s">
        <v>2513</v>
      </c>
      <c r="J195" s="46" t="s">
        <v>2514</v>
      </c>
      <c r="K195" s="46" t="s">
        <v>2061</v>
      </c>
      <c r="L195" s="46" t="s">
        <v>1504</v>
      </c>
      <c r="M195" s="46" t="s">
        <v>2515</v>
      </c>
      <c r="N195" s="46" t="s">
        <v>1641</v>
      </c>
      <c r="O195" s="44" t="s">
        <v>2516</v>
      </c>
      <c r="P195" s="44" t="s">
        <v>2517</v>
      </c>
      <c r="Q195" s="44" t="s">
        <v>1463</v>
      </c>
      <c r="R195" s="44" t="s">
        <v>1463</v>
      </c>
      <c r="S195" s="43"/>
      <c r="T195" s="51">
        <v>45581</v>
      </c>
    </row>
    <row r="196" spans="1:20" ht="26.45">
      <c r="A196" s="47" t="s">
        <v>104</v>
      </c>
      <c r="B196" s="47" t="s">
        <v>2524</v>
      </c>
      <c r="C196" s="48" t="s">
        <v>652</v>
      </c>
      <c r="D196" s="47" t="s">
        <v>1419</v>
      </c>
      <c r="E196" s="47" t="s">
        <v>1481</v>
      </c>
      <c r="F196" s="47"/>
      <c r="G196" s="47" t="s">
        <v>1466</v>
      </c>
      <c r="H196" s="47" t="s">
        <v>2525</v>
      </c>
      <c r="I196" s="50" t="s">
        <v>2513</v>
      </c>
      <c r="J196" s="50" t="s">
        <v>2514</v>
      </c>
      <c r="K196" s="50" t="s">
        <v>2061</v>
      </c>
      <c r="L196" s="50" t="s">
        <v>1504</v>
      </c>
      <c r="M196" s="50" t="s">
        <v>2515</v>
      </c>
      <c r="N196" s="50" t="s">
        <v>1641</v>
      </c>
      <c r="O196" s="47" t="s">
        <v>2516</v>
      </c>
      <c r="P196" s="47" t="s">
        <v>2517</v>
      </c>
      <c r="Q196" s="47" t="s">
        <v>1463</v>
      </c>
      <c r="R196" s="47" t="s">
        <v>1463</v>
      </c>
      <c r="S196" s="43"/>
      <c r="T196" s="49">
        <v>45581</v>
      </c>
    </row>
    <row r="197" spans="1:20" ht="26.45">
      <c r="A197" s="44" t="s">
        <v>105</v>
      </c>
      <c r="B197" s="44" t="s">
        <v>2526</v>
      </c>
      <c r="C197" s="45" t="s">
        <v>652</v>
      </c>
      <c r="D197" s="44" t="s">
        <v>1419</v>
      </c>
      <c r="E197" s="44" t="s">
        <v>1481</v>
      </c>
      <c r="F197" s="44"/>
      <c r="G197" s="44" t="s">
        <v>1466</v>
      </c>
      <c r="H197" s="44" t="s">
        <v>2527</v>
      </c>
      <c r="I197" s="46" t="s">
        <v>2513</v>
      </c>
      <c r="J197" s="46" t="s">
        <v>2514</v>
      </c>
      <c r="K197" s="46" t="s">
        <v>2061</v>
      </c>
      <c r="L197" s="46" t="s">
        <v>1504</v>
      </c>
      <c r="M197" s="46" t="s">
        <v>2515</v>
      </c>
      <c r="N197" s="46" t="s">
        <v>1641</v>
      </c>
      <c r="O197" s="44" t="s">
        <v>2516</v>
      </c>
      <c r="P197" s="44" t="s">
        <v>2517</v>
      </c>
      <c r="Q197" s="44" t="s">
        <v>1463</v>
      </c>
      <c r="R197" s="44" t="s">
        <v>1463</v>
      </c>
      <c r="S197" s="43"/>
      <c r="T197" s="51">
        <v>45581</v>
      </c>
    </row>
    <row r="198" spans="1:20" ht="26.45">
      <c r="A198" s="47" t="s">
        <v>655</v>
      </c>
      <c r="B198" s="47" t="s">
        <v>2528</v>
      </c>
      <c r="C198" s="48" t="s">
        <v>652</v>
      </c>
      <c r="D198" s="47" t="s">
        <v>1419</v>
      </c>
      <c r="E198" s="47" t="s">
        <v>1481</v>
      </c>
      <c r="F198" s="47"/>
      <c r="G198" s="47" t="s">
        <v>1466</v>
      </c>
      <c r="H198" s="47" t="s">
        <v>2529</v>
      </c>
      <c r="I198" s="50" t="s">
        <v>2513</v>
      </c>
      <c r="J198" s="50" t="s">
        <v>2514</v>
      </c>
      <c r="K198" s="50" t="s">
        <v>2061</v>
      </c>
      <c r="L198" s="50" t="s">
        <v>1504</v>
      </c>
      <c r="M198" s="50" t="s">
        <v>2515</v>
      </c>
      <c r="N198" s="50" t="s">
        <v>1641</v>
      </c>
      <c r="O198" s="47" t="s">
        <v>2516</v>
      </c>
      <c r="P198" s="47" t="s">
        <v>2517</v>
      </c>
      <c r="Q198" s="47" t="s">
        <v>1463</v>
      </c>
      <c r="R198" s="47" t="s">
        <v>1463</v>
      </c>
      <c r="S198" s="43"/>
      <c r="T198" s="49">
        <v>45581</v>
      </c>
    </row>
    <row r="199" spans="1:20" ht="26.45">
      <c r="A199" s="44" t="s">
        <v>106</v>
      </c>
      <c r="B199" s="44" t="s">
        <v>2530</v>
      </c>
      <c r="C199" s="45" t="s">
        <v>652</v>
      </c>
      <c r="D199" s="44" t="s">
        <v>1419</v>
      </c>
      <c r="E199" s="44" t="s">
        <v>1481</v>
      </c>
      <c r="F199" s="44"/>
      <c r="G199" s="44" t="s">
        <v>1466</v>
      </c>
      <c r="H199" s="44" t="s">
        <v>2531</v>
      </c>
      <c r="I199" s="46" t="s">
        <v>2513</v>
      </c>
      <c r="J199" s="46" t="s">
        <v>2514</v>
      </c>
      <c r="K199" s="46" t="s">
        <v>2061</v>
      </c>
      <c r="L199" s="46" t="s">
        <v>1504</v>
      </c>
      <c r="M199" s="46" t="s">
        <v>2515</v>
      </c>
      <c r="N199" s="46" t="s">
        <v>1641</v>
      </c>
      <c r="O199" s="44" t="s">
        <v>2516</v>
      </c>
      <c r="P199" s="44" t="s">
        <v>2517</v>
      </c>
      <c r="Q199" s="44" t="s">
        <v>1463</v>
      </c>
      <c r="R199" s="44" t="s">
        <v>1463</v>
      </c>
      <c r="S199" s="43"/>
      <c r="T199" s="51">
        <v>45581</v>
      </c>
    </row>
    <row r="200" spans="1:20" ht="26.45">
      <c r="A200" s="47" t="s">
        <v>107</v>
      </c>
      <c r="B200" s="47" t="s">
        <v>2532</v>
      </c>
      <c r="C200" s="48" t="s">
        <v>652</v>
      </c>
      <c r="D200" s="47" t="s">
        <v>1419</v>
      </c>
      <c r="E200" s="47" t="s">
        <v>1481</v>
      </c>
      <c r="F200" s="47"/>
      <c r="G200" s="47" t="s">
        <v>1466</v>
      </c>
      <c r="H200" s="47" t="s">
        <v>2533</v>
      </c>
      <c r="I200" s="50" t="s">
        <v>2513</v>
      </c>
      <c r="J200" s="50" t="s">
        <v>2514</v>
      </c>
      <c r="K200" s="50" t="s">
        <v>2061</v>
      </c>
      <c r="L200" s="50" t="s">
        <v>1504</v>
      </c>
      <c r="M200" s="50" t="s">
        <v>2515</v>
      </c>
      <c r="N200" s="50" t="s">
        <v>1641</v>
      </c>
      <c r="O200" s="47" t="s">
        <v>2516</v>
      </c>
      <c r="P200" s="47" t="s">
        <v>2517</v>
      </c>
      <c r="Q200" s="47" t="s">
        <v>1463</v>
      </c>
      <c r="R200" s="47" t="s">
        <v>1463</v>
      </c>
      <c r="S200" s="43"/>
      <c r="T200" s="49">
        <v>45581</v>
      </c>
    </row>
    <row r="201" spans="1:20" ht="26.45">
      <c r="A201" s="44" t="s">
        <v>108</v>
      </c>
      <c r="B201" s="44" t="s">
        <v>2534</v>
      </c>
      <c r="C201" s="45" t="s">
        <v>652</v>
      </c>
      <c r="D201" s="44" t="s">
        <v>1419</v>
      </c>
      <c r="E201" s="44" t="s">
        <v>1481</v>
      </c>
      <c r="F201" s="44"/>
      <c r="G201" s="44" t="s">
        <v>1466</v>
      </c>
      <c r="H201" s="44" t="s">
        <v>2535</v>
      </c>
      <c r="I201" s="46" t="s">
        <v>2513</v>
      </c>
      <c r="J201" s="46" t="s">
        <v>2514</v>
      </c>
      <c r="K201" s="46" t="s">
        <v>2061</v>
      </c>
      <c r="L201" s="46" t="s">
        <v>1504</v>
      </c>
      <c r="M201" s="46" t="s">
        <v>2515</v>
      </c>
      <c r="N201" s="46" t="s">
        <v>1641</v>
      </c>
      <c r="O201" s="44" t="s">
        <v>2516</v>
      </c>
      <c r="P201" s="44" t="s">
        <v>2517</v>
      </c>
      <c r="Q201" s="44" t="s">
        <v>1463</v>
      </c>
      <c r="R201" s="44" t="s">
        <v>1463</v>
      </c>
      <c r="S201" s="43"/>
      <c r="T201" s="51">
        <v>45581</v>
      </c>
    </row>
    <row r="202" spans="1:20" ht="26.45">
      <c r="A202" s="47" t="s">
        <v>109</v>
      </c>
      <c r="B202" s="47" t="s">
        <v>2536</v>
      </c>
      <c r="C202" s="48" t="s">
        <v>652</v>
      </c>
      <c r="D202" s="47" t="s">
        <v>1419</v>
      </c>
      <c r="E202" s="47" t="s">
        <v>1481</v>
      </c>
      <c r="F202" s="47"/>
      <c r="G202" s="47" t="s">
        <v>1466</v>
      </c>
      <c r="H202" s="47" t="s">
        <v>2537</v>
      </c>
      <c r="I202" s="50" t="s">
        <v>2513</v>
      </c>
      <c r="J202" s="50" t="s">
        <v>2514</v>
      </c>
      <c r="K202" s="50" t="s">
        <v>2061</v>
      </c>
      <c r="L202" s="50" t="s">
        <v>1504</v>
      </c>
      <c r="M202" s="50" t="s">
        <v>2515</v>
      </c>
      <c r="N202" s="50" t="s">
        <v>1641</v>
      </c>
      <c r="O202" s="47" t="s">
        <v>2516</v>
      </c>
      <c r="P202" s="47" t="s">
        <v>2517</v>
      </c>
      <c r="Q202" s="47" t="s">
        <v>1463</v>
      </c>
      <c r="R202" s="47" t="s">
        <v>1463</v>
      </c>
      <c r="S202" s="43"/>
      <c r="T202" s="49">
        <v>45581</v>
      </c>
    </row>
    <row r="203" spans="1:20" ht="26.45">
      <c r="A203" s="44" t="s">
        <v>110</v>
      </c>
      <c r="B203" s="44" t="s">
        <v>2538</v>
      </c>
      <c r="C203" s="45" t="s">
        <v>652</v>
      </c>
      <c r="D203" s="44" t="s">
        <v>1419</v>
      </c>
      <c r="E203" s="44" t="s">
        <v>1481</v>
      </c>
      <c r="F203" s="44"/>
      <c r="G203" s="44" t="s">
        <v>1466</v>
      </c>
      <c r="H203" s="44" t="s">
        <v>2539</v>
      </c>
      <c r="I203" s="46" t="s">
        <v>2513</v>
      </c>
      <c r="J203" s="46" t="s">
        <v>2514</v>
      </c>
      <c r="K203" s="46" t="s">
        <v>2061</v>
      </c>
      <c r="L203" s="46" t="s">
        <v>1504</v>
      </c>
      <c r="M203" s="46" t="s">
        <v>2515</v>
      </c>
      <c r="N203" s="46" t="s">
        <v>1641</v>
      </c>
      <c r="O203" s="44" t="s">
        <v>2516</v>
      </c>
      <c r="P203" s="44" t="s">
        <v>2517</v>
      </c>
      <c r="Q203" s="44" t="s">
        <v>1463</v>
      </c>
      <c r="R203" s="44" t="s">
        <v>1463</v>
      </c>
      <c r="S203" s="43"/>
      <c r="T203" s="51">
        <v>45581</v>
      </c>
    </row>
    <row r="204" spans="1:20" ht="26.45">
      <c r="A204" s="47" t="s">
        <v>659</v>
      </c>
      <c r="B204" s="47" t="s">
        <v>2540</v>
      </c>
      <c r="C204" s="48" t="s">
        <v>652</v>
      </c>
      <c r="D204" s="47" t="s">
        <v>1419</v>
      </c>
      <c r="E204" s="47" t="s">
        <v>1481</v>
      </c>
      <c r="F204" s="47"/>
      <c r="G204" s="47" t="s">
        <v>1466</v>
      </c>
      <c r="H204" s="47" t="s">
        <v>2541</v>
      </c>
      <c r="I204" s="50" t="s">
        <v>2513</v>
      </c>
      <c r="J204" s="50" t="s">
        <v>2514</v>
      </c>
      <c r="K204" s="50" t="s">
        <v>2061</v>
      </c>
      <c r="L204" s="50" t="s">
        <v>1504</v>
      </c>
      <c r="M204" s="50" t="s">
        <v>2515</v>
      </c>
      <c r="N204" s="50" t="s">
        <v>1641</v>
      </c>
      <c r="O204" s="47" t="s">
        <v>2516</v>
      </c>
      <c r="P204" s="47" t="s">
        <v>2517</v>
      </c>
      <c r="Q204" s="47" t="s">
        <v>1463</v>
      </c>
      <c r="R204" s="47" t="s">
        <v>1463</v>
      </c>
      <c r="S204" s="43"/>
      <c r="T204" s="49">
        <v>45581</v>
      </c>
    </row>
    <row r="205" spans="1:20" ht="26.45">
      <c r="A205" s="44" t="s">
        <v>111</v>
      </c>
      <c r="B205" s="44" t="s">
        <v>2542</v>
      </c>
      <c r="C205" s="45" t="s">
        <v>652</v>
      </c>
      <c r="D205" s="44" t="s">
        <v>1419</v>
      </c>
      <c r="E205" s="44" t="s">
        <v>1481</v>
      </c>
      <c r="F205" s="44"/>
      <c r="G205" s="44" t="s">
        <v>1466</v>
      </c>
      <c r="H205" s="44" t="s">
        <v>2543</v>
      </c>
      <c r="I205" s="46" t="s">
        <v>2513</v>
      </c>
      <c r="J205" s="46" t="s">
        <v>2514</v>
      </c>
      <c r="K205" s="46" t="s">
        <v>2061</v>
      </c>
      <c r="L205" s="46" t="s">
        <v>1504</v>
      </c>
      <c r="M205" s="46" t="s">
        <v>2515</v>
      </c>
      <c r="N205" s="46" t="s">
        <v>1641</v>
      </c>
      <c r="O205" s="44" t="s">
        <v>2516</v>
      </c>
      <c r="P205" s="44" t="s">
        <v>2517</v>
      </c>
      <c r="Q205" s="44" t="s">
        <v>1463</v>
      </c>
      <c r="R205" s="44" t="s">
        <v>1463</v>
      </c>
      <c r="S205" s="43"/>
      <c r="T205" s="51">
        <v>45581</v>
      </c>
    </row>
    <row r="206" spans="1:20" ht="26.45">
      <c r="A206" s="47" t="s">
        <v>656</v>
      </c>
      <c r="B206" s="47" t="s">
        <v>2544</v>
      </c>
      <c r="C206" s="48" t="s">
        <v>652</v>
      </c>
      <c r="D206" s="47" t="s">
        <v>1419</v>
      </c>
      <c r="E206" s="47" t="s">
        <v>1481</v>
      </c>
      <c r="F206" s="47"/>
      <c r="G206" s="47" t="s">
        <v>1466</v>
      </c>
      <c r="H206" s="47" t="s">
        <v>2545</v>
      </c>
      <c r="I206" s="50" t="s">
        <v>2513</v>
      </c>
      <c r="J206" s="50" t="s">
        <v>2514</v>
      </c>
      <c r="K206" s="50" t="s">
        <v>2061</v>
      </c>
      <c r="L206" s="50" t="s">
        <v>1504</v>
      </c>
      <c r="M206" s="50" t="s">
        <v>2515</v>
      </c>
      <c r="N206" s="50" t="s">
        <v>1641</v>
      </c>
      <c r="O206" s="47" t="s">
        <v>2516</v>
      </c>
      <c r="P206" s="47" t="s">
        <v>2517</v>
      </c>
      <c r="Q206" s="47" t="s">
        <v>1463</v>
      </c>
      <c r="R206" s="47" t="s">
        <v>1463</v>
      </c>
      <c r="S206" s="43"/>
      <c r="T206" s="49">
        <v>45581</v>
      </c>
    </row>
    <row r="207" spans="1:20" ht="26.45">
      <c r="A207" s="44" t="s">
        <v>651</v>
      </c>
      <c r="B207" s="44" t="s">
        <v>2546</v>
      </c>
      <c r="C207" s="45" t="s">
        <v>652</v>
      </c>
      <c r="D207" s="44" t="s">
        <v>1419</v>
      </c>
      <c r="E207" s="44" t="s">
        <v>1481</v>
      </c>
      <c r="F207" s="44"/>
      <c r="G207" s="44" t="s">
        <v>1466</v>
      </c>
      <c r="H207" s="44" t="s">
        <v>2547</v>
      </c>
      <c r="I207" s="46" t="s">
        <v>2513</v>
      </c>
      <c r="J207" s="46" t="s">
        <v>2514</v>
      </c>
      <c r="K207" s="46" t="s">
        <v>2061</v>
      </c>
      <c r="L207" s="46" t="s">
        <v>1504</v>
      </c>
      <c r="M207" s="46" t="s">
        <v>2515</v>
      </c>
      <c r="N207" s="46" t="s">
        <v>1641</v>
      </c>
      <c r="O207" s="44" t="s">
        <v>2516</v>
      </c>
      <c r="P207" s="44" t="s">
        <v>2517</v>
      </c>
      <c r="Q207" s="44" t="s">
        <v>1463</v>
      </c>
      <c r="R207" s="44" t="s">
        <v>1463</v>
      </c>
      <c r="S207" s="43"/>
      <c r="T207" s="51">
        <v>45581</v>
      </c>
    </row>
    <row r="208" spans="1:20" ht="26.45">
      <c r="A208" s="47" t="s">
        <v>654</v>
      </c>
      <c r="B208" s="47" t="s">
        <v>2548</v>
      </c>
      <c r="C208" s="48" t="s">
        <v>652</v>
      </c>
      <c r="D208" s="47" t="s">
        <v>1419</v>
      </c>
      <c r="E208" s="47" t="s">
        <v>1481</v>
      </c>
      <c r="F208" s="47"/>
      <c r="G208" s="47" t="s">
        <v>1466</v>
      </c>
      <c r="H208" s="47" t="s">
        <v>2549</v>
      </c>
      <c r="I208" s="50" t="s">
        <v>2513</v>
      </c>
      <c r="J208" s="50" t="s">
        <v>2514</v>
      </c>
      <c r="K208" s="50" t="s">
        <v>2061</v>
      </c>
      <c r="L208" s="50" t="s">
        <v>1504</v>
      </c>
      <c r="M208" s="50" t="s">
        <v>2515</v>
      </c>
      <c r="N208" s="50" t="s">
        <v>1641</v>
      </c>
      <c r="O208" s="47" t="s">
        <v>2516</v>
      </c>
      <c r="P208" s="47" t="s">
        <v>2517</v>
      </c>
      <c r="Q208" s="47" t="s">
        <v>1463</v>
      </c>
      <c r="R208" s="47" t="s">
        <v>1463</v>
      </c>
      <c r="S208" s="43"/>
      <c r="T208" s="49">
        <v>45581</v>
      </c>
    </row>
    <row r="209" spans="1:20">
      <c r="A209" s="44" t="s">
        <v>2550</v>
      </c>
      <c r="B209" s="44" t="s">
        <v>2551</v>
      </c>
      <c r="C209" s="45" t="s">
        <v>652</v>
      </c>
      <c r="D209" s="44" t="s">
        <v>1419</v>
      </c>
      <c r="E209" s="44" t="s">
        <v>1481</v>
      </c>
      <c r="F209" s="44"/>
      <c r="G209" s="44" t="s">
        <v>1466</v>
      </c>
      <c r="H209" s="44" t="s">
        <v>2552</v>
      </c>
      <c r="I209" s="46" t="s">
        <v>2513</v>
      </c>
      <c r="J209" s="46" t="s">
        <v>2514</v>
      </c>
      <c r="K209" s="46" t="s">
        <v>2061</v>
      </c>
      <c r="L209" s="46" t="s">
        <v>1504</v>
      </c>
      <c r="M209" s="46" t="s">
        <v>2515</v>
      </c>
      <c r="N209" s="46" t="s">
        <v>1641</v>
      </c>
      <c r="O209" s="44" t="s">
        <v>1397</v>
      </c>
      <c r="P209" s="44"/>
      <c r="Q209" s="44" t="s">
        <v>1463</v>
      </c>
      <c r="R209" s="44" t="s">
        <v>1463</v>
      </c>
      <c r="S209" s="43"/>
      <c r="T209" s="51">
        <v>45581</v>
      </c>
    </row>
    <row r="210" spans="1:20" ht="26.45">
      <c r="A210" s="47" t="s">
        <v>653</v>
      </c>
      <c r="B210" s="47" t="s">
        <v>2553</v>
      </c>
      <c r="C210" s="48" t="s">
        <v>652</v>
      </c>
      <c r="D210" s="47" t="s">
        <v>1419</v>
      </c>
      <c r="E210" s="47" t="s">
        <v>1481</v>
      </c>
      <c r="F210" s="47"/>
      <c r="G210" s="47" t="s">
        <v>1466</v>
      </c>
      <c r="H210" s="47" t="s">
        <v>2554</v>
      </c>
      <c r="I210" s="50" t="s">
        <v>2513</v>
      </c>
      <c r="J210" s="50" t="s">
        <v>2514</v>
      </c>
      <c r="K210" s="50" t="s">
        <v>2061</v>
      </c>
      <c r="L210" s="50" t="s">
        <v>1504</v>
      </c>
      <c r="M210" s="50" t="s">
        <v>2515</v>
      </c>
      <c r="N210" s="50" t="s">
        <v>1641</v>
      </c>
      <c r="O210" s="47" t="s">
        <v>2516</v>
      </c>
      <c r="P210" s="47" t="s">
        <v>2517</v>
      </c>
      <c r="Q210" s="47" t="s">
        <v>1463</v>
      </c>
      <c r="R210" s="47" t="s">
        <v>1463</v>
      </c>
      <c r="S210" s="43"/>
      <c r="T210" s="49">
        <v>45581</v>
      </c>
    </row>
    <row r="211" spans="1:20" ht="26.45">
      <c r="A211" s="44" t="s">
        <v>112</v>
      </c>
      <c r="B211" s="44" t="s">
        <v>2555</v>
      </c>
      <c r="C211" s="45" t="s">
        <v>652</v>
      </c>
      <c r="D211" s="44" t="s">
        <v>1414</v>
      </c>
      <c r="E211" s="44" t="s">
        <v>1481</v>
      </c>
      <c r="F211" s="44"/>
      <c r="G211" s="44" t="s">
        <v>1466</v>
      </c>
      <c r="H211" s="44" t="s">
        <v>2556</v>
      </c>
      <c r="I211" s="46" t="s">
        <v>2513</v>
      </c>
      <c r="J211" s="46" t="s">
        <v>2514</v>
      </c>
      <c r="K211" s="46" t="s">
        <v>2061</v>
      </c>
      <c r="L211" s="46" t="s">
        <v>1504</v>
      </c>
      <c r="M211" s="46" t="s">
        <v>2515</v>
      </c>
      <c r="N211" s="46" t="s">
        <v>1641</v>
      </c>
      <c r="O211" s="44" t="s">
        <v>2516</v>
      </c>
      <c r="P211" s="44" t="s">
        <v>2517</v>
      </c>
      <c r="Q211" s="44" t="s">
        <v>1463</v>
      </c>
      <c r="R211" s="44" t="s">
        <v>1463</v>
      </c>
      <c r="S211" s="43"/>
      <c r="T211" s="51">
        <v>45581</v>
      </c>
    </row>
    <row r="212" spans="1:20" ht="26.45">
      <c r="A212" s="47" t="s">
        <v>113</v>
      </c>
      <c r="B212" s="47" t="s">
        <v>2557</v>
      </c>
      <c r="C212" s="48" t="s">
        <v>652</v>
      </c>
      <c r="D212" s="47" t="s">
        <v>1414</v>
      </c>
      <c r="E212" s="47" t="s">
        <v>1481</v>
      </c>
      <c r="F212" s="47"/>
      <c r="G212" s="47" t="s">
        <v>1466</v>
      </c>
      <c r="H212" s="47" t="s">
        <v>2558</v>
      </c>
      <c r="I212" s="50" t="s">
        <v>2513</v>
      </c>
      <c r="J212" s="50" t="s">
        <v>2514</v>
      </c>
      <c r="K212" s="50" t="s">
        <v>2061</v>
      </c>
      <c r="L212" s="50" t="s">
        <v>1504</v>
      </c>
      <c r="M212" s="50" t="s">
        <v>2515</v>
      </c>
      <c r="N212" s="50" t="s">
        <v>1641</v>
      </c>
      <c r="O212" s="47" t="s">
        <v>2516</v>
      </c>
      <c r="P212" s="47" t="s">
        <v>2517</v>
      </c>
      <c r="Q212" s="47" t="s">
        <v>1463</v>
      </c>
      <c r="R212" s="47" t="s">
        <v>1463</v>
      </c>
      <c r="S212" s="43"/>
      <c r="T212" s="49">
        <v>45581</v>
      </c>
    </row>
    <row r="213" spans="1:20" ht="26.45">
      <c r="A213" s="44" t="s">
        <v>658</v>
      </c>
      <c r="B213" s="44" t="s">
        <v>2559</v>
      </c>
      <c r="C213" s="45" t="s">
        <v>652</v>
      </c>
      <c r="D213" s="44" t="s">
        <v>1414</v>
      </c>
      <c r="E213" s="44" t="s">
        <v>1481</v>
      </c>
      <c r="F213" s="44"/>
      <c r="G213" s="44" t="s">
        <v>1466</v>
      </c>
      <c r="H213" s="44" t="s">
        <v>2560</v>
      </c>
      <c r="I213" s="46" t="s">
        <v>2513</v>
      </c>
      <c r="J213" s="46" t="s">
        <v>2514</v>
      </c>
      <c r="K213" s="46" t="s">
        <v>2061</v>
      </c>
      <c r="L213" s="46" t="s">
        <v>1504</v>
      </c>
      <c r="M213" s="46" t="s">
        <v>2515</v>
      </c>
      <c r="N213" s="46" t="s">
        <v>1641</v>
      </c>
      <c r="O213" s="44" t="s">
        <v>2516</v>
      </c>
      <c r="P213" s="44" t="s">
        <v>2517</v>
      </c>
      <c r="Q213" s="44" t="s">
        <v>1463</v>
      </c>
      <c r="R213" s="44" t="s">
        <v>1463</v>
      </c>
      <c r="S213" s="43"/>
      <c r="T213" s="51">
        <v>45581</v>
      </c>
    </row>
    <row r="214" spans="1:20" ht="26.45">
      <c r="A214" s="47" t="s">
        <v>114</v>
      </c>
      <c r="B214" s="47" t="s">
        <v>2561</v>
      </c>
      <c r="C214" s="48" t="s">
        <v>652</v>
      </c>
      <c r="D214" s="47" t="s">
        <v>1420</v>
      </c>
      <c r="E214" s="47" t="s">
        <v>1481</v>
      </c>
      <c r="F214" s="47"/>
      <c r="G214" s="47" t="s">
        <v>1466</v>
      </c>
      <c r="H214" s="47" t="s">
        <v>2562</v>
      </c>
      <c r="I214" s="50" t="s">
        <v>2513</v>
      </c>
      <c r="J214" s="50" t="s">
        <v>2514</v>
      </c>
      <c r="K214" s="50" t="s">
        <v>2061</v>
      </c>
      <c r="L214" s="50" t="s">
        <v>1504</v>
      </c>
      <c r="M214" s="50" t="s">
        <v>2515</v>
      </c>
      <c r="N214" s="50" t="s">
        <v>1641</v>
      </c>
      <c r="O214" s="47" t="s">
        <v>2516</v>
      </c>
      <c r="P214" s="47" t="s">
        <v>2517</v>
      </c>
      <c r="Q214" s="47" t="s">
        <v>1463</v>
      </c>
      <c r="R214" s="47" t="s">
        <v>1463</v>
      </c>
      <c r="S214" s="43"/>
      <c r="T214" s="49">
        <v>45581</v>
      </c>
    </row>
    <row r="215" spans="1:20" ht="26.45">
      <c r="A215" s="44" t="s">
        <v>115</v>
      </c>
      <c r="B215" s="44" t="s">
        <v>2563</v>
      </c>
      <c r="C215" s="45" t="s">
        <v>660</v>
      </c>
      <c r="D215" s="44" t="s">
        <v>1420</v>
      </c>
      <c r="E215" s="44" t="s">
        <v>1481</v>
      </c>
      <c r="F215" s="44"/>
      <c r="G215" s="44" t="s">
        <v>1687</v>
      </c>
      <c r="H215" s="44" t="s">
        <v>2564</v>
      </c>
      <c r="I215" s="46" t="s">
        <v>2565</v>
      </c>
      <c r="J215" s="46" t="s">
        <v>2566</v>
      </c>
      <c r="K215" s="46" t="s">
        <v>2567</v>
      </c>
      <c r="L215" s="46" t="s">
        <v>1474</v>
      </c>
      <c r="M215" s="46" t="s">
        <v>2568</v>
      </c>
      <c r="N215" s="46" t="s">
        <v>1641</v>
      </c>
      <c r="O215" s="44" t="s">
        <v>2569</v>
      </c>
      <c r="P215" s="44" t="s">
        <v>2570</v>
      </c>
      <c r="Q215" s="44" t="s">
        <v>1695</v>
      </c>
      <c r="R215" s="44" t="s">
        <v>1463</v>
      </c>
      <c r="S215" s="43"/>
      <c r="T215" s="51">
        <v>45345</v>
      </c>
    </row>
    <row r="216" spans="1:20">
      <c r="A216" s="47" t="s">
        <v>2571</v>
      </c>
      <c r="B216" s="47"/>
      <c r="C216" s="48" t="s">
        <v>2572</v>
      </c>
      <c r="D216" s="47" t="s">
        <v>1414</v>
      </c>
      <c r="E216" s="47" t="s">
        <v>1460</v>
      </c>
      <c r="F216" s="49">
        <v>41457.382443252303</v>
      </c>
      <c r="G216" s="47" t="s">
        <v>1466</v>
      </c>
      <c r="H216" s="47"/>
      <c r="I216" s="50"/>
      <c r="J216" s="50"/>
      <c r="K216" s="50"/>
      <c r="L216" s="50"/>
      <c r="M216" s="50"/>
      <c r="N216" s="50"/>
      <c r="O216" s="47"/>
      <c r="P216" s="47"/>
      <c r="Q216" s="47" t="s">
        <v>1463</v>
      </c>
      <c r="R216" s="47" t="s">
        <v>1463</v>
      </c>
      <c r="S216" s="43"/>
      <c r="T216" s="47"/>
    </row>
    <row r="217" spans="1:20" ht="26.45">
      <c r="A217" s="44" t="s">
        <v>116</v>
      </c>
      <c r="B217" s="44" t="s">
        <v>2573</v>
      </c>
      <c r="C217" s="45" t="s">
        <v>661</v>
      </c>
      <c r="D217" s="44" t="s">
        <v>1419</v>
      </c>
      <c r="E217" s="44" t="s">
        <v>1481</v>
      </c>
      <c r="F217" s="44"/>
      <c r="G217" s="44" t="s">
        <v>1466</v>
      </c>
      <c r="H217" s="44" t="s">
        <v>2574</v>
      </c>
      <c r="I217" s="46" t="s">
        <v>2575</v>
      </c>
      <c r="J217" s="46" t="s">
        <v>2576</v>
      </c>
      <c r="K217" s="46" t="s">
        <v>1493</v>
      </c>
      <c r="L217" s="46" t="s">
        <v>1474</v>
      </c>
      <c r="M217" s="46" t="s">
        <v>2577</v>
      </c>
      <c r="N217" s="46" t="s">
        <v>1729</v>
      </c>
      <c r="O217" s="44" t="s">
        <v>2578</v>
      </c>
      <c r="P217" s="44" t="s">
        <v>2579</v>
      </c>
      <c r="Q217" s="44" t="s">
        <v>1463</v>
      </c>
      <c r="R217" s="44" t="s">
        <v>1463</v>
      </c>
      <c r="S217" s="43"/>
      <c r="T217" s="51">
        <v>45468</v>
      </c>
    </row>
    <row r="218" spans="1:20" ht="26.45">
      <c r="A218" s="47" t="s">
        <v>117</v>
      </c>
      <c r="B218" s="47" t="s">
        <v>2580</v>
      </c>
      <c r="C218" s="48" t="s">
        <v>662</v>
      </c>
      <c r="D218" s="47" t="s">
        <v>1419</v>
      </c>
      <c r="E218" s="47" t="s">
        <v>1481</v>
      </c>
      <c r="F218" s="47"/>
      <c r="G218" s="47" t="s">
        <v>1466</v>
      </c>
      <c r="H218" s="47" t="s">
        <v>2581</v>
      </c>
      <c r="I218" s="50" t="s">
        <v>2582</v>
      </c>
      <c r="J218" s="50" t="s">
        <v>2583</v>
      </c>
      <c r="K218" s="50" t="s">
        <v>1493</v>
      </c>
      <c r="L218" s="50" t="s">
        <v>1504</v>
      </c>
      <c r="M218" s="50" t="s">
        <v>2584</v>
      </c>
      <c r="N218" s="50" t="s">
        <v>1641</v>
      </c>
      <c r="O218" s="47" t="s">
        <v>2585</v>
      </c>
      <c r="P218" s="47" t="s">
        <v>2586</v>
      </c>
      <c r="Q218" s="47" t="s">
        <v>1463</v>
      </c>
      <c r="R218" s="47" t="s">
        <v>1463</v>
      </c>
      <c r="S218" s="43"/>
      <c r="T218" s="49">
        <v>45608</v>
      </c>
    </row>
    <row r="219" spans="1:20" ht="26.45">
      <c r="A219" s="44" t="s">
        <v>118</v>
      </c>
      <c r="B219" s="44" t="s">
        <v>2587</v>
      </c>
      <c r="C219" s="45" t="s">
        <v>663</v>
      </c>
      <c r="D219" s="44" t="s">
        <v>1419</v>
      </c>
      <c r="E219" s="44" t="s">
        <v>1481</v>
      </c>
      <c r="F219" s="44"/>
      <c r="G219" s="44" t="s">
        <v>1466</v>
      </c>
      <c r="H219" s="44" t="s">
        <v>2588</v>
      </c>
      <c r="I219" s="46" t="s">
        <v>2589</v>
      </c>
      <c r="J219" s="46" t="s">
        <v>2590</v>
      </c>
      <c r="K219" s="46" t="s">
        <v>1888</v>
      </c>
      <c r="L219" s="46" t="s">
        <v>1504</v>
      </c>
      <c r="M219" s="46" t="s">
        <v>2591</v>
      </c>
      <c r="N219" s="46" t="s">
        <v>1744</v>
      </c>
      <c r="O219" s="44" t="s">
        <v>2592</v>
      </c>
      <c r="P219" s="44" t="s">
        <v>2593</v>
      </c>
      <c r="Q219" s="44" t="s">
        <v>1463</v>
      </c>
      <c r="R219" s="44" t="s">
        <v>1463</v>
      </c>
      <c r="S219" s="43"/>
      <c r="T219" s="51">
        <v>45645</v>
      </c>
    </row>
    <row r="220" spans="1:20" ht="26.45">
      <c r="A220" s="47" t="s">
        <v>119</v>
      </c>
      <c r="B220" s="47" t="s">
        <v>2594</v>
      </c>
      <c r="C220" s="48" t="s">
        <v>664</v>
      </c>
      <c r="D220" s="47" t="s">
        <v>1428</v>
      </c>
      <c r="E220" s="47" t="s">
        <v>1481</v>
      </c>
      <c r="F220" s="47"/>
      <c r="G220" s="47" t="s">
        <v>1687</v>
      </c>
      <c r="H220" s="47" t="s">
        <v>2595</v>
      </c>
      <c r="I220" s="50" t="s">
        <v>2596</v>
      </c>
      <c r="J220" s="50" t="s">
        <v>2597</v>
      </c>
      <c r="K220" s="50" t="s">
        <v>2598</v>
      </c>
      <c r="L220" s="50" t="s">
        <v>1504</v>
      </c>
      <c r="M220" s="50" t="s">
        <v>2599</v>
      </c>
      <c r="N220" s="50" t="s">
        <v>1525</v>
      </c>
      <c r="O220" s="47" t="s">
        <v>2600</v>
      </c>
      <c r="P220" s="47" t="s">
        <v>2601</v>
      </c>
      <c r="Q220" s="47" t="s">
        <v>1695</v>
      </c>
      <c r="R220" s="47" t="s">
        <v>1463</v>
      </c>
      <c r="S220" s="43"/>
      <c r="T220" s="49">
        <v>45686</v>
      </c>
    </row>
    <row r="221" spans="1:20" ht="26.45">
      <c r="A221" s="44" t="s">
        <v>2602</v>
      </c>
      <c r="B221" s="44" t="s">
        <v>2603</v>
      </c>
      <c r="C221" s="45" t="s">
        <v>2604</v>
      </c>
      <c r="D221" s="44" t="s">
        <v>1419</v>
      </c>
      <c r="E221" s="44" t="s">
        <v>1481</v>
      </c>
      <c r="F221" s="44"/>
      <c r="G221" s="44" t="s">
        <v>1490</v>
      </c>
      <c r="H221" s="44" t="s">
        <v>2605</v>
      </c>
      <c r="I221" s="46" t="s">
        <v>2604</v>
      </c>
      <c r="J221" s="46" t="s">
        <v>2606</v>
      </c>
      <c r="K221" s="46" t="s">
        <v>1523</v>
      </c>
      <c r="L221" s="46" t="s">
        <v>1504</v>
      </c>
      <c r="M221" s="46" t="s">
        <v>2607</v>
      </c>
      <c r="N221" s="46"/>
      <c r="O221" s="44"/>
      <c r="P221" s="44"/>
      <c r="Q221" s="44" t="s">
        <v>1463</v>
      </c>
      <c r="R221" s="44" t="s">
        <v>1463</v>
      </c>
      <c r="S221" s="43"/>
      <c r="T221" s="44"/>
    </row>
    <row r="222" spans="1:20" ht="26.45">
      <c r="A222" s="47" t="s">
        <v>665</v>
      </c>
      <c r="B222" s="47" t="s">
        <v>2608</v>
      </c>
      <c r="C222" s="48" t="s">
        <v>666</v>
      </c>
      <c r="D222" s="47" t="s">
        <v>1431</v>
      </c>
      <c r="E222" s="47" t="s">
        <v>1481</v>
      </c>
      <c r="F222" s="47"/>
      <c r="G222" s="47" t="s">
        <v>1687</v>
      </c>
      <c r="H222" s="47" t="s">
        <v>2609</v>
      </c>
      <c r="I222" s="50" t="s">
        <v>2610</v>
      </c>
      <c r="J222" s="50" t="s">
        <v>2611</v>
      </c>
      <c r="K222" s="50" t="s">
        <v>2612</v>
      </c>
      <c r="L222" s="50" t="s">
        <v>1504</v>
      </c>
      <c r="M222" s="50" t="s">
        <v>2613</v>
      </c>
      <c r="N222" s="50" t="s">
        <v>1516</v>
      </c>
      <c r="O222" s="47" t="s">
        <v>2614</v>
      </c>
      <c r="P222" s="47" t="s">
        <v>2615</v>
      </c>
      <c r="Q222" s="47" t="s">
        <v>1695</v>
      </c>
      <c r="R222" s="47" t="s">
        <v>1463</v>
      </c>
      <c r="S222" s="43"/>
      <c r="T222" s="49">
        <v>45414</v>
      </c>
    </row>
    <row r="223" spans="1:20" ht="26.45">
      <c r="A223" s="44" t="s">
        <v>2616</v>
      </c>
      <c r="B223" s="44" t="s">
        <v>2617</v>
      </c>
      <c r="C223" s="45" t="s">
        <v>2618</v>
      </c>
      <c r="D223" s="44" t="s">
        <v>1425</v>
      </c>
      <c r="E223" s="44" t="s">
        <v>1481</v>
      </c>
      <c r="F223" s="44"/>
      <c r="G223" s="44" t="s">
        <v>1490</v>
      </c>
      <c r="H223" s="44" t="s">
        <v>2619</v>
      </c>
      <c r="I223" s="46" t="s">
        <v>2620</v>
      </c>
      <c r="J223" s="46" t="s">
        <v>2621</v>
      </c>
      <c r="K223" s="46" t="s">
        <v>2112</v>
      </c>
      <c r="L223" s="46" t="s">
        <v>1474</v>
      </c>
      <c r="M223" s="46" t="s">
        <v>2622</v>
      </c>
      <c r="N223" s="46" t="s">
        <v>1476</v>
      </c>
      <c r="O223" s="44" t="s">
        <v>2623</v>
      </c>
      <c r="P223" s="44" t="s">
        <v>2624</v>
      </c>
      <c r="Q223" s="44" t="s">
        <v>1463</v>
      </c>
      <c r="R223" s="44" t="s">
        <v>1463</v>
      </c>
      <c r="S223" s="43"/>
      <c r="T223" s="51">
        <v>45559</v>
      </c>
    </row>
    <row r="224" spans="1:20" ht="26.45">
      <c r="A224" s="47" t="s">
        <v>2625</v>
      </c>
      <c r="B224" s="47" t="s">
        <v>2626</v>
      </c>
      <c r="C224" s="48" t="s">
        <v>2627</v>
      </c>
      <c r="D224" s="47" t="s">
        <v>1430</v>
      </c>
      <c r="E224" s="47" t="s">
        <v>1481</v>
      </c>
      <c r="F224" s="47"/>
      <c r="G224" s="47" t="s">
        <v>1461</v>
      </c>
      <c r="H224" s="47"/>
      <c r="I224" s="50"/>
      <c r="J224" s="50"/>
      <c r="K224" s="50"/>
      <c r="L224" s="50"/>
      <c r="M224" s="50"/>
      <c r="N224" s="50"/>
      <c r="O224" s="47"/>
      <c r="P224" s="47"/>
      <c r="Q224" s="47" t="s">
        <v>1463</v>
      </c>
      <c r="R224" s="47" t="s">
        <v>1463</v>
      </c>
      <c r="S224" s="43"/>
      <c r="T224" s="47"/>
    </row>
    <row r="225" spans="1:20" ht="26.45">
      <c r="A225" s="44" t="s">
        <v>120</v>
      </c>
      <c r="B225" s="44" t="s">
        <v>2628</v>
      </c>
      <c r="C225" s="45" t="s">
        <v>667</v>
      </c>
      <c r="D225" s="44" t="s">
        <v>1428</v>
      </c>
      <c r="E225" s="44" t="s">
        <v>1481</v>
      </c>
      <c r="F225" s="44"/>
      <c r="G225" s="44" t="s">
        <v>1687</v>
      </c>
      <c r="H225" s="44" t="s">
        <v>2629</v>
      </c>
      <c r="I225" s="46" t="s">
        <v>2630</v>
      </c>
      <c r="J225" s="46" t="s">
        <v>2631</v>
      </c>
      <c r="K225" s="46" t="s">
        <v>2632</v>
      </c>
      <c r="L225" s="46" t="s">
        <v>1504</v>
      </c>
      <c r="M225" s="46" t="s">
        <v>2633</v>
      </c>
      <c r="N225" s="46" t="s">
        <v>1531</v>
      </c>
      <c r="O225" s="44" t="s">
        <v>2634</v>
      </c>
      <c r="P225" s="44" t="s">
        <v>2635</v>
      </c>
      <c r="Q225" s="44" t="s">
        <v>1695</v>
      </c>
      <c r="R225" s="44" t="s">
        <v>1463</v>
      </c>
      <c r="S225" s="43"/>
      <c r="T225" s="51">
        <v>45587</v>
      </c>
    </row>
    <row r="226" spans="1:20">
      <c r="A226" s="47" t="s">
        <v>2636</v>
      </c>
      <c r="B226" s="47"/>
      <c r="C226" s="48" t="s">
        <v>2637</v>
      </c>
      <c r="D226" s="47" t="s">
        <v>1419</v>
      </c>
      <c r="E226" s="47" t="s">
        <v>1460</v>
      </c>
      <c r="F226" s="49">
        <v>41457.382442094902</v>
      </c>
      <c r="G226" s="47" t="s">
        <v>1466</v>
      </c>
      <c r="H226" s="47"/>
      <c r="I226" s="50"/>
      <c r="J226" s="50"/>
      <c r="K226" s="50"/>
      <c r="L226" s="50"/>
      <c r="M226" s="50"/>
      <c r="N226" s="50"/>
      <c r="O226" s="47"/>
      <c r="P226" s="47"/>
      <c r="Q226" s="47" t="s">
        <v>1463</v>
      </c>
      <c r="R226" s="47" t="s">
        <v>1463</v>
      </c>
      <c r="S226" s="43"/>
      <c r="T226" s="47"/>
    </row>
    <row r="227" spans="1:20" ht="39.6">
      <c r="A227" s="44" t="s">
        <v>2638</v>
      </c>
      <c r="B227" s="44" t="s">
        <v>2639</v>
      </c>
      <c r="C227" s="45" t="s">
        <v>2640</v>
      </c>
      <c r="D227" s="44" t="s">
        <v>1432</v>
      </c>
      <c r="E227" s="44" t="s">
        <v>1481</v>
      </c>
      <c r="F227" s="44"/>
      <c r="G227" s="44" t="s">
        <v>1511</v>
      </c>
      <c r="H227" s="44"/>
      <c r="I227" s="46"/>
      <c r="J227" s="46"/>
      <c r="K227" s="46"/>
      <c r="L227" s="46"/>
      <c r="M227" s="46"/>
      <c r="N227" s="46"/>
      <c r="O227" s="44"/>
      <c r="P227" s="44"/>
      <c r="Q227" s="44" t="s">
        <v>1463</v>
      </c>
      <c r="R227" s="44" t="s">
        <v>1463</v>
      </c>
      <c r="S227" s="43"/>
      <c r="T227" s="44"/>
    </row>
    <row r="228" spans="1:20">
      <c r="A228" s="47" t="s">
        <v>2641</v>
      </c>
      <c r="B228" s="47" t="s">
        <v>2642</v>
      </c>
      <c r="C228" s="48" t="s">
        <v>2643</v>
      </c>
      <c r="D228" s="47" t="s">
        <v>1410</v>
      </c>
      <c r="E228" s="47" t="s">
        <v>1481</v>
      </c>
      <c r="F228" s="47"/>
      <c r="G228" s="47" t="s">
        <v>1663</v>
      </c>
      <c r="H228" s="47"/>
      <c r="I228" s="50" t="s">
        <v>2643</v>
      </c>
      <c r="J228" s="50" t="s">
        <v>2644</v>
      </c>
      <c r="K228" s="50" t="s">
        <v>1772</v>
      </c>
      <c r="L228" s="50" t="s">
        <v>1504</v>
      </c>
      <c r="M228" s="50" t="s">
        <v>1765</v>
      </c>
      <c r="N228" s="50"/>
      <c r="O228" s="47" t="s">
        <v>2645</v>
      </c>
      <c r="P228" s="47"/>
      <c r="Q228" s="47" t="s">
        <v>1463</v>
      </c>
      <c r="R228" s="47" t="s">
        <v>1463</v>
      </c>
      <c r="S228" s="43"/>
      <c r="T228" s="49">
        <v>43132</v>
      </c>
    </row>
    <row r="229" spans="1:20" ht="26.45">
      <c r="A229" s="44" t="s">
        <v>668</v>
      </c>
      <c r="B229" s="44" t="s">
        <v>2646</v>
      </c>
      <c r="C229" s="45" t="s">
        <v>669</v>
      </c>
      <c r="D229" s="44" t="s">
        <v>1414</v>
      </c>
      <c r="E229" s="44" t="s">
        <v>1481</v>
      </c>
      <c r="F229" s="44"/>
      <c r="G229" s="44" t="s">
        <v>1466</v>
      </c>
      <c r="H229" s="44" t="s">
        <v>2647</v>
      </c>
      <c r="I229" s="46" t="s">
        <v>669</v>
      </c>
      <c r="J229" s="46" t="s">
        <v>2648</v>
      </c>
      <c r="K229" s="46" t="s">
        <v>1484</v>
      </c>
      <c r="L229" s="46" t="s">
        <v>1474</v>
      </c>
      <c r="M229" s="46" t="s">
        <v>2649</v>
      </c>
      <c r="N229" s="46" t="s">
        <v>1495</v>
      </c>
      <c r="O229" s="44" t="s">
        <v>2650</v>
      </c>
      <c r="P229" s="44" t="s">
        <v>2651</v>
      </c>
      <c r="Q229" s="44" t="s">
        <v>1463</v>
      </c>
      <c r="R229" s="44" t="s">
        <v>1463</v>
      </c>
      <c r="S229" s="43"/>
      <c r="T229" s="51">
        <v>45610</v>
      </c>
    </row>
    <row r="230" spans="1:20" ht="26.45">
      <c r="A230" s="47" t="s">
        <v>2652</v>
      </c>
      <c r="B230" s="47" t="s">
        <v>2653</v>
      </c>
      <c r="C230" s="48" t="s">
        <v>2654</v>
      </c>
      <c r="D230" s="47" t="s">
        <v>1435</v>
      </c>
      <c r="E230" s="47" t="s">
        <v>1481</v>
      </c>
      <c r="F230" s="47"/>
      <c r="G230" s="47" t="s">
        <v>1687</v>
      </c>
      <c r="H230" s="47" t="s">
        <v>2655</v>
      </c>
      <c r="I230" s="50" t="s">
        <v>2656</v>
      </c>
      <c r="J230" s="50" t="s">
        <v>2657</v>
      </c>
      <c r="K230" s="50" t="s">
        <v>2658</v>
      </c>
      <c r="L230" s="50" t="s">
        <v>1504</v>
      </c>
      <c r="M230" s="50" t="s">
        <v>2659</v>
      </c>
      <c r="N230" s="50" t="s">
        <v>1641</v>
      </c>
      <c r="O230" s="47" t="s">
        <v>2660</v>
      </c>
      <c r="P230" s="47" t="s">
        <v>2661</v>
      </c>
      <c r="Q230" s="47" t="s">
        <v>1695</v>
      </c>
      <c r="R230" s="47" t="s">
        <v>1463</v>
      </c>
      <c r="S230" s="43"/>
      <c r="T230" s="49">
        <v>45624</v>
      </c>
    </row>
    <row r="231" spans="1:20" ht="26.45">
      <c r="A231" s="44" t="s">
        <v>121</v>
      </c>
      <c r="B231" s="44" t="s">
        <v>2662</v>
      </c>
      <c r="C231" s="45" t="s">
        <v>670</v>
      </c>
      <c r="D231" s="44" t="s">
        <v>1432</v>
      </c>
      <c r="E231" s="44" t="s">
        <v>1481</v>
      </c>
      <c r="F231" s="44"/>
      <c r="G231" s="44" t="s">
        <v>1687</v>
      </c>
      <c r="H231" s="44" t="s">
        <v>2663</v>
      </c>
      <c r="I231" s="46" t="s">
        <v>2664</v>
      </c>
      <c r="J231" s="46" t="s">
        <v>2665</v>
      </c>
      <c r="K231" s="46" t="s">
        <v>2666</v>
      </c>
      <c r="L231" s="46" t="s">
        <v>1474</v>
      </c>
      <c r="M231" s="46" t="s">
        <v>2667</v>
      </c>
      <c r="N231" s="46" t="s">
        <v>1531</v>
      </c>
      <c r="O231" s="44" t="s">
        <v>2668</v>
      </c>
      <c r="P231" s="44" t="s">
        <v>2669</v>
      </c>
      <c r="Q231" s="44" t="s">
        <v>1695</v>
      </c>
      <c r="R231" s="44" t="s">
        <v>1463</v>
      </c>
      <c r="S231" s="43"/>
      <c r="T231" s="51">
        <v>45561</v>
      </c>
    </row>
    <row r="232" spans="1:20" ht="26.45">
      <c r="A232" s="47" t="s">
        <v>671</v>
      </c>
      <c r="B232" s="47" t="s">
        <v>2670</v>
      </c>
      <c r="C232" s="48" t="s">
        <v>672</v>
      </c>
      <c r="D232" s="47" t="s">
        <v>1419</v>
      </c>
      <c r="E232" s="47" t="s">
        <v>1481</v>
      </c>
      <c r="F232" s="47"/>
      <c r="G232" s="47" t="s">
        <v>1466</v>
      </c>
      <c r="H232" s="47" t="s">
        <v>2671</v>
      </c>
      <c r="I232" s="50" t="s">
        <v>2672</v>
      </c>
      <c r="J232" s="50" t="s">
        <v>2673</v>
      </c>
      <c r="K232" s="50" t="s">
        <v>1493</v>
      </c>
      <c r="L232" s="50" t="s">
        <v>1504</v>
      </c>
      <c r="M232" s="50" t="s">
        <v>2674</v>
      </c>
      <c r="N232" s="50" t="s">
        <v>1525</v>
      </c>
      <c r="O232" s="47" t="s">
        <v>2675</v>
      </c>
      <c r="P232" s="47" t="s">
        <v>2676</v>
      </c>
      <c r="Q232" s="47" t="s">
        <v>1463</v>
      </c>
      <c r="R232" s="47" t="s">
        <v>1463</v>
      </c>
      <c r="S232" s="43"/>
      <c r="T232" s="49">
        <v>45301</v>
      </c>
    </row>
    <row r="233" spans="1:20">
      <c r="A233" s="44" t="s">
        <v>2677</v>
      </c>
      <c r="B233" s="44" t="s">
        <v>2678</v>
      </c>
      <c r="C233" s="45" t="s">
        <v>2679</v>
      </c>
      <c r="D233" s="44" t="s">
        <v>1419</v>
      </c>
      <c r="E233" s="44" t="s">
        <v>1481</v>
      </c>
      <c r="F233" s="44"/>
      <c r="G233" s="44" t="s">
        <v>1466</v>
      </c>
      <c r="H233" s="44" t="s">
        <v>2680</v>
      </c>
      <c r="I233" s="46" t="s">
        <v>2679</v>
      </c>
      <c r="J233" s="46"/>
      <c r="K233" s="46"/>
      <c r="L233" s="46"/>
      <c r="M233" s="46"/>
      <c r="N233" s="46"/>
      <c r="O233" s="44" t="s">
        <v>2681</v>
      </c>
      <c r="P233" s="44"/>
      <c r="Q233" s="44" t="s">
        <v>1463</v>
      </c>
      <c r="R233" s="44" t="s">
        <v>1463</v>
      </c>
      <c r="S233" s="43"/>
      <c r="T233" s="44"/>
    </row>
    <row r="234" spans="1:20">
      <c r="A234" s="47" t="s">
        <v>122</v>
      </c>
      <c r="B234" s="47" t="s">
        <v>2682</v>
      </c>
      <c r="C234" s="48" t="s">
        <v>673</v>
      </c>
      <c r="D234" s="47" t="s">
        <v>1433</v>
      </c>
      <c r="E234" s="47" t="s">
        <v>1481</v>
      </c>
      <c r="F234" s="47"/>
      <c r="G234" s="47" t="s">
        <v>1687</v>
      </c>
      <c r="H234" s="47" t="s">
        <v>2683</v>
      </c>
      <c r="I234" s="50" t="s">
        <v>2684</v>
      </c>
      <c r="J234" s="50" t="s">
        <v>2685</v>
      </c>
      <c r="K234" s="50" t="s">
        <v>2686</v>
      </c>
      <c r="L234" s="50" t="s">
        <v>1504</v>
      </c>
      <c r="M234" s="50" t="s">
        <v>2687</v>
      </c>
      <c r="N234" s="50" t="s">
        <v>1525</v>
      </c>
      <c r="O234" s="47" t="s">
        <v>2688</v>
      </c>
      <c r="P234" s="47" t="s">
        <v>2689</v>
      </c>
      <c r="Q234" s="47" t="s">
        <v>1695</v>
      </c>
      <c r="R234" s="47" t="s">
        <v>1463</v>
      </c>
      <c r="S234" s="43"/>
      <c r="T234" s="49">
        <v>45392</v>
      </c>
    </row>
    <row r="235" spans="1:20" ht="26.45">
      <c r="A235" s="44" t="s">
        <v>2690</v>
      </c>
      <c r="B235" s="44" t="s">
        <v>2691</v>
      </c>
      <c r="C235" s="45" t="s">
        <v>2692</v>
      </c>
      <c r="D235" s="44" t="s">
        <v>1419</v>
      </c>
      <c r="E235" s="44" t="s">
        <v>1481</v>
      </c>
      <c r="F235" s="44"/>
      <c r="G235" s="44" t="s">
        <v>1490</v>
      </c>
      <c r="H235" s="44" t="s">
        <v>2693</v>
      </c>
      <c r="I235" s="46" t="s">
        <v>2692</v>
      </c>
      <c r="J235" s="46" t="s">
        <v>2694</v>
      </c>
      <c r="K235" s="46" t="s">
        <v>1523</v>
      </c>
      <c r="L235" s="46" t="s">
        <v>1504</v>
      </c>
      <c r="M235" s="46" t="s">
        <v>2695</v>
      </c>
      <c r="N235" s="46" t="s">
        <v>1495</v>
      </c>
      <c r="O235" s="44" t="s">
        <v>2696</v>
      </c>
      <c r="P235" s="44"/>
      <c r="Q235" s="44" t="s">
        <v>1463</v>
      </c>
      <c r="R235" s="44" t="s">
        <v>1463</v>
      </c>
      <c r="S235" s="43"/>
      <c r="T235" s="51">
        <v>44698</v>
      </c>
    </row>
    <row r="236" spans="1:20" ht="26.45">
      <c r="A236" s="47" t="s">
        <v>123</v>
      </c>
      <c r="B236" s="47" t="s">
        <v>2697</v>
      </c>
      <c r="C236" s="48" t="s">
        <v>674</v>
      </c>
      <c r="D236" s="47" t="s">
        <v>1431</v>
      </c>
      <c r="E236" s="47" t="s">
        <v>1481</v>
      </c>
      <c r="F236" s="47"/>
      <c r="G236" s="47" t="s">
        <v>1687</v>
      </c>
      <c r="H236" s="47" t="s">
        <v>2698</v>
      </c>
      <c r="I236" s="50" t="s">
        <v>2699</v>
      </c>
      <c r="J236" s="50" t="s">
        <v>2700</v>
      </c>
      <c r="K236" s="50" t="s">
        <v>2701</v>
      </c>
      <c r="L236" s="50" t="s">
        <v>1504</v>
      </c>
      <c r="M236" s="50" t="s">
        <v>2702</v>
      </c>
      <c r="N236" s="50" t="s">
        <v>1476</v>
      </c>
      <c r="O236" s="47" t="s">
        <v>2703</v>
      </c>
      <c r="P236" s="47" t="s">
        <v>2704</v>
      </c>
      <c r="Q236" s="47" t="s">
        <v>1695</v>
      </c>
      <c r="R236" s="47" t="s">
        <v>1463</v>
      </c>
      <c r="S236" s="43"/>
      <c r="T236" s="49">
        <v>45532</v>
      </c>
    </row>
    <row r="237" spans="1:20" ht="26.45">
      <c r="A237" s="44" t="s">
        <v>124</v>
      </c>
      <c r="B237" s="44" t="s">
        <v>2705</v>
      </c>
      <c r="C237" s="45" t="s">
        <v>675</v>
      </c>
      <c r="D237" s="44" t="s">
        <v>1428</v>
      </c>
      <c r="E237" s="44" t="s">
        <v>1481</v>
      </c>
      <c r="F237" s="44"/>
      <c r="G237" s="44" t="s">
        <v>1687</v>
      </c>
      <c r="H237" s="44" t="s">
        <v>2706</v>
      </c>
      <c r="I237" s="46" t="s">
        <v>675</v>
      </c>
      <c r="J237" s="46" t="s">
        <v>2707</v>
      </c>
      <c r="K237" s="46" t="s">
        <v>2708</v>
      </c>
      <c r="L237" s="46" t="s">
        <v>1504</v>
      </c>
      <c r="M237" s="46" t="s">
        <v>2709</v>
      </c>
      <c r="N237" s="46" t="s">
        <v>1525</v>
      </c>
      <c r="O237" s="44" t="s">
        <v>2710</v>
      </c>
      <c r="P237" s="44" t="s">
        <v>2711</v>
      </c>
      <c r="Q237" s="44" t="s">
        <v>1695</v>
      </c>
      <c r="R237" s="44" t="s">
        <v>1463</v>
      </c>
      <c r="S237" s="43"/>
      <c r="T237" s="51">
        <v>45503</v>
      </c>
    </row>
    <row r="238" spans="1:20">
      <c r="A238" s="47" t="s">
        <v>2712</v>
      </c>
      <c r="B238" s="47" t="s">
        <v>2713</v>
      </c>
      <c r="C238" s="48" t="s">
        <v>2714</v>
      </c>
      <c r="D238" s="47" t="s">
        <v>1420</v>
      </c>
      <c r="E238" s="47" t="s">
        <v>1481</v>
      </c>
      <c r="F238" s="47"/>
      <c r="G238" s="47" t="s">
        <v>1461</v>
      </c>
      <c r="H238" s="47"/>
      <c r="I238" s="50"/>
      <c r="J238" s="50"/>
      <c r="K238" s="50"/>
      <c r="L238" s="50"/>
      <c r="M238" s="50"/>
      <c r="N238" s="50"/>
      <c r="O238" s="47"/>
      <c r="P238" s="47"/>
      <c r="Q238" s="47" t="s">
        <v>1463</v>
      </c>
      <c r="R238" s="47" t="s">
        <v>1463</v>
      </c>
      <c r="S238" s="43"/>
      <c r="T238" s="47"/>
    </row>
    <row r="239" spans="1:20">
      <c r="A239" s="44" t="s">
        <v>2715</v>
      </c>
      <c r="B239" s="44" t="s">
        <v>2716</v>
      </c>
      <c r="C239" s="45" t="s">
        <v>2717</v>
      </c>
      <c r="D239" s="44" t="s">
        <v>1419</v>
      </c>
      <c r="E239" s="44" t="s">
        <v>1481</v>
      </c>
      <c r="F239" s="44"/>
      <c r="G239" s="44" t="s">
        <v>1461</v>
      </c>
      <c r="H239" s="44"/>
      <c r="I239" s="46"/>
      <c r="J239" s="46" t="s">
        <v>2718</v>
      </c>
      <c r="K239" s="46" t="s">
        <v>1523</v>
      </c>
      <c r="L239" s="46" t="s">
        <v>1504</v>
      </c>
      <c r="M239" s="46" t="s">
        <v>2719</v>
      </c>
      <c r="N239" s="46"/>
      <c r="O239" s="44" t="s">
        <v>2720</v>
      </c>
      <c r="P239" s="44"/>
      <c r="Q239" s="44" t="s">
        <v>1463</v>
      </c>
      <c r="R239" s="44" t="s">
        <v>1463</v>
      </c>
      <c r="S239" s="43"/>
      <c r="T239" s="51">
        <v>43143</v>
      </c>
    </row>
    <row r="240" spans="1:20">
      <c r="A240" s="47" t="s">
        <v>2721</v>
      </c>
      <c r="B240" s="47" t="s">
        <v>2722</v>
      </c>
      <c r="C240" s="48" t="s">
        <v>2723</v>
      </c>
      <c r="D240" s="47" t="s">
        <v>1420</v>
      </c>
      <c r="E240" s="47" t="s">
        <v>1481</v>
      </c>
      <c r="F240" s="47"/>
      <c r="G240" s="47" t="s">
        <v>1461</v>
      </c>
      <c r="H240" s="47"/>
      <c r="I240" s="50"/>
      <c r="J240" s="50"/>
      <c r="K240" s="50"/>
      <c r="L240" s="50"/>
      <c r="M240" s="50"/>
      <c r="N240" s="50"/>
      <c r="O240" s="47"/>
      <c r="P240" s="47"/>
      <c r="Q240" s="47" t="s">
        <v>1463</v>
      </c>
      <c r="R240" s="47" t="s">
        <v>1463</v>
      </c>
      <c r="S240" s="43"/>
      <c r="T240" s="47"/>
    </row>
    <row r="241" spans="1:20">
      <c r="A241" s="44" t="s">
        <v>2724</v>
      </c>
      <c r="B241" s="44" t="s">
        <v>2725</v>
      </c>
      <c r="C241" s="45" t="s">
        <v>2726</v>
      </c>
      <c r="D241" s="44" t="s">
        <v>1419</v>
      </c>
      <c r="E241" s="44" t="s">
        <v>1481</v>
      </c>
      <c r="F241" s="44"/>
      <c r="G241" s="44" t="s">
        <v>1461</v>
      </c>
      <c r="H241" s="44"/>
      <c r="I241" s="46"/>
      <c r="J241" s="46" t="s">
        <v>2727</v>
      </c>
      <c r="K241" s="46" t="s">
        <v>2728</v>
      </c>
      <c r="L241" s="46" t="s">
        <v>1504</v>
      </c>
      <c r="M241" s="46" t="s">
        <v>2729</v>
      </c>
      <c r="N241" s="46"/>
      <c r="O241" s="44" t="s">
        <v>2730</v>
      </c>
      <c r="P241" s="44"/>
      <c r="Q241" s="44" t="s">
        <v>1463</v>
      </c>
      <c r="R241" s="44" t="s">
        <v>1463</v>
      </c>
      <c r="S241" s="43"/>
      <c r="T241" s="51">
        <v>43312</v>
      </c>
    </row>
    <row r="242" spans="1:20">
      <c r="A242" s="47" t="s">
        <v>2731</v>
      </c>
      <c r="B242" s="47" t="s">
        <v>2732</v>
      </c>
      <c r="C242" s="48" t="s">
        <v>2733</v>
      </c>
      <c r="D242" s="47" t="s">
        <v>1416</v>
      </c>
      <c r="E242" s="47" t="s">
        <v>1481</v>
      </c>
      <c r="F242" s="47"/>
      <c r="G242" s="47" t="s">
        <v>1461</v>
      </c>
      <c r="H242" s="47"/>
      <c r="I242" s="50" t="s">
        <v>2734</v>
      </c>
      <c r="J242" s="50" t="s">
        <v>2735</v>
      </c>
      <c r="K242" s="50" t="s">
        <v>2736</v>
      </c>
      <c r="L242" s="50" t="s">
        <v>1504</v>
      </c>
      <c r="M242" s="50" t="s">
        <v>2737</v>
      </c>
      <c r="N242" s="50" t="s">
        <v>1476</v>
      </c>
      <c r="O242" s="47" t="s">
        <v>2738</v>
      </c>
      <c r="P242" s="47"/>
      <c r="Q242" s="47" t="s">
        <v>1463</v>
      </c>
      <c r="R242" s="47" t="s">
        <v>1463</v>
      </c>
      <c r="S242" s="43"/>
      <c r="T242" s="49">
        <v>44300</v>
      </c>
    </row>
    <row r="243" spans="1:20">
      <c r="A243" s="44" t="s">
        <v>2739</v>
      </c>
      <c r="B243" s="44" t="s">
        <v>2740</v>
      </c>
      <c r="C243" s="45" t="s">
        <v>2741</v>
      </c>
      <c r="D243" s="44" t="s">
        <v>1419</v>
      </c>
      <c r="E243" s="44" t="s">
        <v>1481</v>
      </c>
      <c r="F243" s="44"/>
      <c r="G243" s="44" t="s">
        <v>1461</v>
      </c>
      <c r="H243" s="44"/>
      <c r="I243" s="46"/>
      <c r="J243" s="46" t="s">
        <v>2742</v>
      </c>
      <c r="K243" s="46" t="s">
        <v>2213</v>
      </c>
      <c r="L243" s="46" t="s">
        <v>1504</v>
      </c>
      <c r="M243" s="46" t="s">
        <v>2743</v>
      </c>
      <c r="N243" s="46"/>
      <c r="O243" s="44" t="s">
        <v>2744</v>
      </c>
      <c r="P243" s="44"/>
      <c r="Q243" s="44" t="s">
        <v>1463</v>
      </c>
      <c r="R243" s="44" t="s">
        <v>1463</v>
      </c>
      <c r="S243" s="43"/>
      <c r="T243" s="51">
        <v>43209</v>
      </c>
    </row>
    <row r="244" spans="1:20" ht="26.45">
      <c r="A244" s="47" t="s">
        <v>2745</v>
      </c>
      <c r="B244" s="47" t="s">
        <v>2746</v>
      </c>
      <c r="C244" s="48" t="s">
        <v>2747</v>
      </c>
      <c r="D244" s="47" t="s">
        <v>1419</v>
      </c>
      <c r="E244" s="47" t="s">
        <v>1460</v>
      </c>
      <c r="F244" s="49">
        <v>42850.890401539298</v>
      </c>
      <c r="G244" s="47" t="s">
        <v>1466</v>
      </c>
      <c r="H244" s="47" t="s">
        <v>2748</v>
      </c>
      <c r="I244" s="50" t="s">
        <v>2747</v>
      </c>
      <c r="J244" s="50" t="s">
        <v>2749</v>
      </c>
      <c r="K244" s="50" t="s">
        <v>2165</v>
      </c>
      <c r="L244" s="50" t="s">
        <v>1504</v>
      </c>
      <c r="M244" s="50" t="s">
        <v>2750</v>
      </c>
      <c r="N244" s="50" t="s">
        <v>1629</v>
      </c>
      <c r="O244" s="47" t="s">
        <v>2751</v>
      </c>
      <c r="P244" s="47"/>
      <c r="Q244" s="47" t="s">
        <v>1463</v>
      </c>
      <c r="R244" s="47" t="s">
        <v>1463</v>
      </c>
      <c r="S244" s="43"/>
      <c r="T244" s="49">
        <v>43193</v>
      </c>
    </row>
    <row r="245" spans="1:20">
      <c r="A245" s="44" t="s">
        <v>2752</v>
      </c>
      <c r="B245" s="44" t="s">
        <v>2753</v>
      </c>
      <c r="C245" s="45" t="s">
        <v>2754</v>
      </c>
      <c r="D245" s="44" t="s">
        <v>1416</v>
      </c>
      <c r="E245" s="44" t="s">
        <v>1481</v>
      </c>
      <c r="F245" s="44"/>
      <c r="G245" s="44" t="s">
        <v>1461</v>
      </c>
      <c r="H245" s="44"/>
      <c r="I245" s="46"/>
      <c r="J245" s="46"/>
      <c r="K245" s="46"/>
      <c r="L245" s="46"/>
      <c r="M245" s="46"/>
      <c r="N245" s="46"/>
      <c r="O245" s="44"/>
      <c r="P245" s="44"/>
      <c r="Q245" s="44" t="s">
        <v>1463</v>
      </c>
      <c r="R245" s="44" t="s">
        <v>1463</v>
      </c>
      <c r="S245" s="43"/>
      <c r="T245" s="44"/>
    </row>
    <row r="246" spans="1:20">
      <c r="A246" s="47" t="s">
        <v>2755</v>
      </c>
      <c r="B246" s="47" t="s">
        <v>2756</v>
      </c>
      <c r="C246" s="48" t="s">
        <v>2757</v>
      </c>
      <c r="D246" s="47" t="s">
        <v>1419</v>
      </c>
      <c r="E246" s="47" t="s">
        <v>1481</v>
      </c>
      <c r="F246" s="47"/>
      <c r="G246" s="47" t="s">
        <v>1466</v>
      </c>
      <c r="H246" s="47" t="s">
        <v>2758</v>
      </c>
      <c r="I246" s="50"/>
      <c r="J246" s="50"/>
      <c r="K246" s="50"/>
      <c r="L246" s="50"/>
      <c r="M246" s="50"/>
      <c r="N246" s="50"/>
      <c r="O246" s="47"/>
      <c r="P246" s="47"/>
      <c r="Q246" s="47" t="s">
        <v>1463</v>
      </c>
      <c r="R246" s="47" t="s">
        <v>1463</v>
      </c>
      <c r="S246" s="43"/>
      <c r="T246" s="47"/>
    </row>
    <row r="247" spans="1:20" ht="26.45">
      <c r="A247" s="44" t="s">
        <v>2759</v>
      </c>
      <c r="B247" s="44" t="s">
        <v>2760</v>
      </c>
      <c r="C247" s="45" t="s">
        <v>2761</v>
      </c>
      <c r="D247" s="44" t="s">
        <v>1414</v>
      </c>
      <c r="E247" s="44" t="s">
        <v>1481</v>
      </c>
      <c r="F247" s="44"/>
      <c r="G247" s="44" t="s">
        <v>1490</v>
      </c>
      <c r="H247" s="44" t="s">
        <v>2762</v>
      </c>
      <c r="I247" s="46" t="s">
        <v>2761</v>
      </c>
      <c r="J247" s="46" t="s">
        <v>2763</v>
      </c>
      <c r="K247" s="46" t="s">
        <v>2764</v>
      </c>
      <c r="L247" s="46" t="s">
        <v>1504</v>
      </c>
      <c r="M247" s="46" t="s">
        <v>2765</v>
      </c>
      <c r="N247" s="46"/>
      <c r="O247" s="44"/>
      <c r="P247" s="44"/>
      <c r="Q247" s="44" t="s">
        <v>1463</v>
      </c>
      <c r="R247" s="44" t="s">
        <v>1463</v>
      </c>
      <c r="S247" s="43"/>
      <c r="T247" s="44"/>
    </row>
    <row r="248" spans="1:20" ht="26.45">
      <c r="A248" s="47" t="s">
        <v>2766</v>
      </c>
      <c r="B248" s="47" t="s">
        <v>2767</v>
      </c>
      <c r="C248" s="48" t="s">
        <v>2768</v>
      </c>
      <c r="D248" s="47" t="s">
        <v>1425</v>
      </c>
      <c r="E248" s="47" t="s">
        <v>1481</v>
      </c>
      <c r="F248" s="47"/>
      <c r="G248" s="47" t="s">
        <v>1490</v>
      </c>
      <c r="H248" s="47" t="s">
        <v>2769</v>
      </c>
      <c r="I248" s="50" t="s">
        <v>2770</v>
      </c>
      <c r="J248" s="50" t="s">
        <v>2771</v>
      </c>
      <c r="K248" s="50" t="s">
        <v>1425</v>
      </c>
      <c r="L248" s="50" t="s">
        <v>1504</v>
      </c>
      <c r="M248" s="50" t="s">
        <v>2772</v>
      </c>
      <c r="N248" s="50"/>
      <c r="O248" s="47" t="s">
        <v>2773</v>
      </c>
      <c r="P248" s="47"/>
      <c r="Q248" s="47" t="s">
        <v>1463</v>
      </c>
      <c r="R248" s="47" t="s">
        <v>1463</v>
      </c>
      <c r="S248" s="43"/>
      <c r="T248" s="49">
        <v>43031</v>
      </c>
    </row>
    <row r="249" spans="1:20" ht="26.45">
      <c r="A249" s="44" t="s">
        <v>125</v>
      </c>
      <c r="B249" s="44" t="s">
        <v>2774</v>
      </c>
      <c r="C249" s="45" t="s">
        <v>676</v>
      </c>
      <c r="D249" s="44" t="s">
        <v>1419</v>
      </c>
      <c r="E249" s="44" t="s">
        <v>1481</v>
      </c>
      <c r="F249" s="44"/>
      <c r="G249" s="44" t="s">
        <v>1687</v>
      </c>
      <c r="H249" s="44" t="s">
        <v>2775</v>
      </c>
      <c r="I249" s="46" t="s">
        <v>2776</v>
      </c>
      <c r="J249" s="46" t="s">
        <v>2777</v>
      </c>
      <c r="K249" s="46" t="s">
        <v>2778</v>
      </c>
      <c r="L249" s="46" t="s">
        <v>1474</v>
      </c>
      <c r="M249" s="46" t="s">
        <v>2779</v>
      </c>
      <c r="N249" s="46" t="s">
        <v>1516</v>
      </c>
      <c r="O249" s="44" t="s">
        <v>2780</v>
      </c>
      <c r="P249" s="44" t="s">
        <v>2781</v>
      </c>
      <c r="Q249" s="44" t="s">
        <v>1695</v>
      </c>
      <c r="R249" s="44" t="s">
        <v>1463</v>
      </c>
      <c r="S249" s="43"/>
      <c r="T249" s="51">
        <v>45628</v>
      </c>
    </row>
    <row r="250" spans="1:20" ht="26.45">
      <c r="A250" s="47" t="s">
        <v>677</v>
      </c>
      <c r="B250" s="47" t="s">
        <v>2782</v>
      </c>
      <c r="C250" s="48" t="s">
        <v>678</v>
      </c>
      <c r="D250" s="47" t="s">
        <v>1419</v>
      </c>
      <c r="E250" s="47" t="s">
        <v>1481</v>
      </c>
      <c r="F250" s="47"/>
      <c r="G250" s="47" t="s">
        <v>1687</v>
      </c>
      <c r="H250" s="47" t="s">
        <v>2783</v>
      </c>
      <c r="I250" s="50" t="s">
        <v>678</v>
      </c>
      <c r="J250" s="50" t="s">
        <v>2784</v>
      </c>
      <c r="K250" s="50" t="s">
        <v>2778</v>
      </c>
      <c r="L250" s="50" t="s">
        <v>1474</v>
      </c>
      <c r="M250" s="50" t="s">
        <v>2785</v>
      </c>
      <c r="N250" s="50" t="s">
        <v>1516</v>
      </c>
      <c r="O250" s="47" t="s">
        <v>2786</v>
      </c>
      <c r="P250" s="47" t="s">
        <v>2787</v>
      </c>
      <c r="Q250" s="47" t="s">
        <v>1695</v>
      </c>
      <c r="R250" s="47" t="s">
        <v>1463</v>
      </c>
      <c r="S250" s="43"/>
      <c r="T250" s="49">
        <v>45635</v>
      </c>
    </row>
    <row r="251" spans="1:20">
      <c r="A251" s="44" t="s">
        <v>2788</v>
      </c>
      <c r="B251" s="44" t="s">
        <v>2789</v>
      </c>
      <c r="C251" s="45" t="s">
        <v>2790</v>
      </c>
      <c r="D251" s="44" t="s">
        <v>1420</v>
      </c>
      <c r="E251" s="44" t="s">
        <v>1481</v>
      </c>
      <c r="F251" s="44"/>
      <c r="G251" s="44" t="s">
        <v>1461</v>
      </c>
      <c r="H251" s="44"/>
      <c r="I251" s="46"/>
      <c r="J251" s="46"/>
      <c r="K251" s="46"/>
      <c r="L251" s="46"/>
      <c r="M251" s="46"/>
      <c r="N251" s="46"/>
      <c r="O251" s="44"/>
      <c r="P251" s="44"/>
      <c r="Q251" s="44" t="s">
        <v>1463</v>
      </c>
      <c r="R251" s="44" t="s">
        <v>1463</v>
      </c>
      <c r="S251" s="43"/>
      <c r="T251" s="44"/>
    </row>
    <row r="252" spans="1:20">
      <c r="A252" s="47" t="s">
        <v>2791</v>
      </c>
      <c r="B252" s="47" t="s">
        <v>2792</v>
      </c>
      <c r="C252" s="48" t="s">
        <v>2793</v>
      </c>
      <c r="D252" s="47" t="s">
        <v>1414</v>
      </c>
      <c r="E252" s="47" t="s">
        <v>1481</v>
      </c>
      <c r="F252" s="47"/>
      <c r="G252" s="47" t="s">
        <v>1461</v>
      </c>
      <c r="H252" s="47"/>
      <c r="I252" s="50"/>
      <c r="J252" s="50"/>
      <c r="K252" s="50"/>
      <c r="L252" s="50"/>
      <c r="M252" s="50"/>
      <c r="N252" s="50"/>
      <c r="O252" s="47"/>
      <c r="P252" s="47"/>
      <c r="Q252" s="47" t="s">
        <v>1463</v>
      </c>
      <c r="R252" s="47" t="s">
        <v>1463</v>
      </c>
      <c r="S252" s="43"/>
      <c r="T252" s="47"/>
    </row>
    <row r="253" spans="1:20" ht="26.45">
      <c r="A253" s="44" t="s">
        <v>126</v>
      </c>
      <c r="B253" s="44" t="s">
        <v>2794</v>
      </c>
      <c r="C253" s="45" t="s">
        <v>679</v>
      </c>
      <c r="D253" s="44" t="s">
        <v>1416</v>
      </c>
      <c r="E253" s="44" t="s">
        <v>1481</v>
      </c>
      <c r="F253" s="44"/>
      <c r="G253" s="44" t="s">
        <v>1687</v>
      </c>
      <c r="H253" s="44" t="s">
        <v>2795</v>
      </c>
      <c r="I253" s="46" t="s">
        <v>2796</v>
      </c>
      <c r="J253" s="46" t="s">
        <v>2797</v>
      </c>
      <c r="K253" s="46" t="s">
        <v>2736</v>
      </c>
      <c r="L253" s="46" t="s">
        <v>1504</v>
      </c>
      <c r="M253" s="46" t="s">
        <v>2798</v>
      </c>
      <c r="N253" s="46" t="s">
        <v>1516</v>
      </c>
      <c r="O253" s="44" t="s">
        <v>2799</v>
      </c>
      <c r="P253" s="44" t="s">
        <v>2800</v>
      </c>
      <c r="Q253" s="44" t="s">
        <v>1463</v>
      </c>
      <c r="R253" s="44" t="s">
        <v>1463</v>
      </c>
      <c r="S253" s="43"/>
      <c r="T253" s="51">
        <v>45611</v>
      </c>
    </row>
    <row r="254" spans="1:20">
      <c r="A254" s="47" t="s">
        <v>2801</v>
      </c>
      <c r="B254" s="47"/>
      <c r="C254" s="48" t="s">
        <v>2802</v>
      </c>
      <c r="D254" s="47" t="s">
        <v>1419</v>
      </c>
      <c r="E254" s="47" t="s">
        <v>1460</v>
      </c>
      <c r="F254" s="49">
        <v>41457.382442048598</v>
      </c>
      <c r="G254" s="47" t="s">
        <v>1466</v>
      </c>
      <c r="H254" s="47" t="s">
        <v>2803</v>
      </c>
      <c r="I254" s="50"/>
      <c r="J254" s="50"/>
      <c r="K254" s="50"/>
      <c r="L254" s="50"/>
      <c r="M254" s="50"/>
      <c r="N254" s="50"/>
      <c r="O254" s="47"/>
      <c r="P254" s="47"/>
      <c r="Q254" s="47" t="s">
        <v>1463</v>
      </c>
      <c r="R254" s="47" t="s">
        <v>1463</v>
      </c>
      <c r="S254" s="43"/>
      <c r="T254" s="47"/>
    </row>
    <row r="255" spans="1:20">
      <c r="A255" s="44" t="s">
        <v>2804</v>
      </c>
      <c r="B255" s="44"/>
      <c r="C255" s="45" t="s">
        <v>2805</v>
      </c>
      <c r="D255" s="44" t="s">
        <v>1419</v>
      </c>
      <c r="E255" s="44" t="s">
        <v>1460</v>
      </c>
      <c r="F255" s="51">
        <v>41457.382442708302</v>
      </c>
      <c r="G255" s="44" t="s">
        <v>1466</v>
      </c>
      <c r="H255" s="44"/>
      <c r="I255" s="46"/>
      <c r="J255" s="46"/>
      <c r="K255" s="46"/>
      <c r="L255" s="46"/>
      <c r="M255" s="46"/>
      <c r="N255" s="46"/>
      <c r="O255" s="44"/>
      <c r="P255" s="44"/>
      <c r="Q255" s="44" t="s">
        <v>1463</v>
      </c>
      <c r="R255" s="44" t="s">
        <v>1463</v>
      </c>
      <c r="S255" s="43"/>
      <c r="T255" s="44"/>
    </row>
    <row r="256" spans="1:20" ht="26.45">
      <c r="A256" s="47" t="s">
        <v>2806</v>
      </c>
      <c r="B256" s="47" t="s">
        <v>2807</v>
      </c>
      <c r="C256" s="48" t="s">
        <v>2808</v>
      </c>
      <c r="D256" s="47" t="s">
        <v>1410</v>
      </c>
      <c r="E256" s="47" t="s">
        <v>1481</v>
      </c>
      <c r="F256" s="47"/>
      <c r="G256" s="47" t="s">
        <v>1585</v>
      </c>
      <c r="H256" s="47"/>
      <c r="I256" s="50"/>
      <c r="J256" s="50"/>
      <c r="K256" s="50"/>
      <c r="L256" s="50"/>
      <c r="M256" s="50"/>
      <c r="N256" s="50"/>
      <c r="O256" s="47"/>
      <c r="P256" s="47"/>
      <c r="Q256" s="47" t="s">
        <v>1463</v>
      </c>
      <c r="R256" s="47" t="s">
        <v>1463</v>
      </c>
      <c r="S256" s="43"/>
      <c r="T256" s="47"/>
    </row>
    <row r="257" spans="1:20" ht="26.45">
      <c r="A257" s="44" t="s">
        <v>2809</v>
      </c>
      <c r="B257" s="44" t="s">
        <v>2810</v>
      </c>
      <c r="C257" s="45" t="s">
        <v>2811</v>
      </c>
      <c r="D257" s="44" t="s">
        <v>1419</v>
      </c>
      <c r="E257" s="44" t="s">
        <v>1481</v>
      </c>
      <c r="F257" s="44"/>
      <c r="G257" s="44" t="s">
        <v>1466</v>
      </c>
      <c r="H257" s="44" t="s">
        <v>2812</v>
      </c>
      <c r="I257" s="46" t="s">
        <v>2813</v>
      </c>
      <c r="J257" s="46" t="s">
        <v>2814</v>
      </c>
      <c r="K257" s="46" t="s">
        <v>1888</v>
      </c>
      <c r="L257" s="46" t="s">
        <v>1504</v>
      </c>
      <c r="M257" s="46" t="s">
        <v>2815</v>
      </c>
      <c r="N257" s="46" t="s">
        <v>1744</v>
      </c>
      <c r="O257" s="44" t="s">
        <v>2816</v>
      </c>
      <c r="P257" s="44" t="s">
        <v>2817</v>
      </c>
      <c r="Q257" s="44" t="s">
        <v>1463</v>
      </c>
      <c r="R257" s="44" t="s">
        <v>1463</v>
      </c>
      <c r="S257" s="43"/>
      <c r="T257" s="51">
        <v>45407</v>
      </c>
    </row>
    <row r="258" spans="1:20" ht="26.45">
      <c r="A258" s="47" t="s">
        <v>127</v>
      </c>
      <c r="B258" s="47" t="s">
        <v>2818</v>
      </c>
      <c r="C258" s="48" t="s">
        <v>680</v>
      </c>
      <c r="D258" s="47" t="s">
        <v>1419</v>
      </c>
      <c r="E258" s="47" t="s">
        <v>1481</v>
      </c>
      <c r="F258" s="47"/>
      <c r="G258" s="47" t="s">
        <v>1466</v>
      </c>
      <c r="H258" s="47" t="s">
        <v>2819</v>
      </c>
      <c r="I258" s="50" t="s">
        <v>2820</v>
      </c>
      <c r="J258" s="50" t="s">
        <v>2821</v>
      </c>
      <c r="K258" s="50" t="s">
        <v>1888</v>
      </c>
      <c r="L258" s="50" t="s">
        <v>1474</v>
      </c>
      <c r="M258" s="50" t="s">
        <v>2822</v>
      </c>
      <c r="N258" s="50" t="s">
        <v>1744</v>
      </c>
      <c r="O258" s="47" t="s">
        <v>2816</v>
      </c>
      <c r="P258" s="47" t="s">
        <v>2817</v>
      </c>
      <c r="Q258" s="47" t="s">
        <v>1463</v>
      </c>
      <c r="R258" s="47" t="s">
        <v>1463</v>
      </c>
      <c r="S258" s="43"/>
      <c r="T258" s="49">
        <v>45407</v>
      </c>
    </row>
    <row r="259" spans="1:20" ht="26.45">
      <c r="A259" s="44" t="s">
        <v>128</v>
      </c>
      <c r="B259" s="44" t="s">
        <v>2823</v>
      </c>
      <c r="C259" s="45" t="s">
        <v>681</v>
      </c>
      <c r="D259" s="44" t="s">
        <v>1419</v>
      </c>
      <c r="E259" s="44" t="s">
        <v>1481</v>
      </c>
      <c r="F259" s="44"/>
      <c r="G259" s="44" t="s">
        <v>1466</v>
      </c>
      <c r="H259" s="44" t="s">
        <v>2824</v>
      </c>
      <c r="I259" s="46" t="s">
        <v>2820</v>
      </c>
      <c r="J259" s="46" t="s">
        <v>2821</v>
      </c>
      <c r="K259" s="46" t="s">
        <v>1888</v>
      </c>
      <c r="L259" s="46" t="s">
        <v>1474</v>
      </c>
      <c r="M259" s="46" t="s">
        <v>2822</v>
      </c>
      <c r="N259" s="46" t="s">
        <v>1744</v>
      </c>
      <c r="O259" s="44" t="s">
        <v>2816</v>
      </c>
      <c r="P259" s="44" t="s">
        <v>2817</v>
      </c>
      <c r="Q259" s="44" t="s">
        <v>1463</v>
      </c>
      <c r="R259" s="44" t="s">
        <v>1463</v>
      </c>
      <c r="S259" s="43"/>
      <c r="T259" s="51">
        <v>45407</v>
      </c>
    </row>
    <row r="260" spans="1:20" ht="26.45">
      <c r="A260" s="47" t="s">
        <v>129</v>
      </c>
      <c r="B260" s="47" t="s">
        <v>2825</v>
      </c>
      <c r="C260" s="48" t="s">
        <v>682</v>
      </c>
      <c r="D260" s="47" t="s">
        <v>1419</v>
      </c>
      <c r="E260" s="47" t="s">
        <v>1481</v>
      </c>
      <c r="F260" s="47"/>
      <c r="G260" s="47" t="s">
        <v>1466</v>
      </c>
      <c r="H260" s="47" t="s">
        <v>2826</v>
      </c>
      <c r="I260" s="50" t="s">
        <v>2827</v>
      </c>
      <c r="J260" s="50" t="s">
        <v>2828</v>
      </c>
      <c r="K260" s="50" t="s">
        <v>2829</v>
      </c>
      <c r="L260" s="50" t="s">
        <v>1504</v>
      </c>
      <c r="M260" s="50" t="s">
        <v>2830</v>
      </c>
      <c r="N260" s="50" t="s">
        <v>1729</v>
      </c>
      <c r="O260" s="47" t="s">
        <v>2831</v>
      </c>
      <c r="P260" s="47" t="s">
        <v>2832</v>
      </c>
      <c r="Q260" s="47" t="s">
        <v>1463</v>
      </c>
      <c r="R260" s="47" t="s">
        <v>1463</v>
      </c>
      <c r="S260" s="43"/>
      <c r="T260" s="49">
        <v>45660</v>
      </c>
    </row>
    <row r="261" spans="1:20">
      <c r="A261" s="44" t="s">
        <v>2833</v>
      </c>
      <c r="B261" s="44"/>
      <c r="C261" s="45" t="s">
        <v>2834</v>
      </c>
      <c r="D261" s="44" t="s">
        <v>1436</v>
      </c>
      <c r="E261" s="44" t="s">
        <v>1460</v>
      </c>
      <c r="F261" s="51">
        <v>41885.919537650501</v>
      </c>
      <c r="G261" s="44" t="s">
        <v>1466</v>
      </c>
      <c r="H261" s="44"/>
      <c r="I261" s="46"/>
      <c r="J261" s="46"/>
      <c r="K261" s="46"/>
      <c r="L261" s="46"/>
      <c r="M261" s="46"/>
      <c r="N261" s="46"/>
      <c r="O261" s="44"/>
      <c r="P261" s="44"/>
      <c r="Q261" s="44" t="s">
        <v>1463</v>
      </c>
      <c r="R261" s="44" t="s">
        <v>1463</v>
      </c>
      <c r="S261" s="43"/>
      <c r="T261" s="44"/>
    </row>
    <row r="262" spans="1:20" ht="26.45">
      <c r="A262" s="47" t="s">
        <v>2835</v>
      </c>
      <c r="B262" s="47" t="s">
        <v>2836</v>
      </c>
      <c r="C262" s="48" t="s">
        <v>2837</v>
      </c>
      <c r="D262" s="47" t="s">
        <v>1419</v>
      </c>
      <c r="E262" s="47" t="s">
        <v>1481</v>
      </c>
      <c r="F262" s="47"/>
      <c r="G262" s="47" t="s">
        <v>1490</v>
      </c>
      <c r="H262" s="47"/>
      <c r="I262" s="50" t="s">
        <v>2837</v>
      </c>
      <c r="J262" s="50" t="s">
        <v>2838</v>
      </c>
      <c r="K262" s="50" t="s">
        <v>1523</v>
      </c>
      <c r="L262" s="50" t="s">
        <v>1504</v>
      </c>
      <c r="M262" s="50" t="s">
        <v>2839</v>
      </c>
      <c r="N262" s="50" t="s">
        <v>1729</v>
      </c>
      <c r="O262" s="47"/>
      <c r="P262" s="47"/>
      <c r="Q262" s="47" t="s">
        <v>1463</v>
      </c>
      <c r="R262" s="47" t="s">
        <v>1463</v>
      </c>
      <c r="S262" s="43"/>
      <c r="T262" s="47"/>
    </row>
    <row r="263" spans="1:20" ht="26.45">
      <c r="A263" s="44" t="s">
        <v>130</v>
      </c>
      <c r="B263" s="44" t="s">
        <v>2840</v>
      </c>
      <c r="C263" s="45" t="s">
        <v>683</v>
      </c>
      <c r="D263" s="44" t="s">
        <v>1419</v>
      </c>
      <c r="E263" s="44" t="s">
        <v>1481</v>
      </c>
      <c r="F263" s="44"/>
      <c r="G263" s="44" t="s">
        <v>1466</v>
      </c>
      <c r="H263" s="44" t="s">
        <v>2841</v>
      </c>
      <c r="I263" s="46" t="s">
        <v>2842</v>
      </c>
      <c r="J263" s="46" t="s">
        <v>2843</v>
      </c>
      <c r="K263" s="46" t="s">
        <v>1503</v>
      </c>
      <c r="L263" s="46" t="s">
        <v>1474</v>
      </c>
      <c r="M263" s="46" t="s">
        <v>2844</v>
      </c>
      <c r="N263" s="46" t="s">
        <v>1744</v>
      </c>
      <c r="O263" s="44" t="s">
        <v>2845</v>
      </c>
      <c r="P263" s="44" t="s">
        <v>2846</v>
      </c>
      <c r="Q263" s="44" t="s">
        <v>1463</v>
      </c>
      <c r="R263" s="44" t="s">
        <v>1463</v>
      </c>
      <c r="S263" s="43"/>
      <c r="T263" s="51">
        <v>45541</v>
      </c>
    </row>
    <row r="264" spans="1:20" ht="26.45">
      <c r="A264" s="47" t="s">
        <v>131</v>
      </c>
      <c r="B264" s="47" t="s">
        <v>2847</v>
      </c>
      <c r="C264" s="48" t="s">
        <v>684</v>
      </c>
      <c r="D264" s="47" t="s">
        <v>1419</v>
      </c>
      <c r="E264" s="47" t="s">
        <v>1481</v>
      </c>
      <c r="F264" s="47"/>
      <c r="G264" s="47" t="s">
        <v>1466</v>
      </c>
      <c r="H264" s="47" t="s">
        <v>2848</v>
      </c>
      <c r="I264" s="50" t="s">
        <v>2849</v>
      </c>
      <c r="J264" s="50" t="s">
        <v>2850</v>
      </c>
      <c r="K264" s="50" t="s">
        <v>2829</v>
      </c>
      <c r="L264" s="50" t="s">
        <v>1504</v>
      </c>
      <c r="M264" s="50" t="s">
        <v>2851</v>
      </c>
      <c r="N264" s="50" t="s">
        <v>1495</v>
      </c>
      <c r="O264" s="47" t="s">
        <v>2852</v>
      </c>
      <c r="P264" s="47" t="s">
        <v>2853</v>
      </c>
      <c r="Q264" s="47" t="s">
        <v>1463</v>
      </c>
      <c r="R264" s="47" t="s">
        <v>1463</v>
      </c>
      <c r="S264" s="43"/>
      <c r="T264" s="49">
        <v>45299</v>
      </c>
    </row>
    <row r="265" spans="1:20">
      <c r="A265" s="44" t="s">
        <v>2854</v>
      </c>
      <c r="B265" s="44" t="s">
        <v>2855</v>
      </c>
      <c r="C265" s="45" t="s">
        <v>2856</v>
      </c>
      <c r="D265" s="44" t="s">
        <v>1419</v>
      </c>
      <c r="E265" s="44" t="s">
        <v>1460</v>
      </c>
      <c r="F265" s="51">
        <v>43503.000394444403</v>
      </c>
      <c r="G265" s="44" t="s">
        <v>1466</v>
      </c>
      <c r="H265" s="44" t="s">
        <v>2857</v>
      </c>
      <c r="I265" s="46" t="s">
        <v>2858</v>
      </c>
      <c r="J265" s="46" t="s">
        <v>2859</v>
      </c>
      <c r="K265" s="46" t="s">
        <v>2184</v>
      </c>
      <c r="L265" s="46" t="s">
        <v>1504</v>
      </c>
      <c r="M265" s="46" t="s">
        <v>2860</v>
      </c>
      <c r="N265" s="46" t="s">
        <v>1516</v>
      </c>
      <c r="O265" s="44" t="s">
        <v>2861</v>
      </c>
      <c r="P265" s="44"/>
      <c r="Q265" s="44" t="s">
        <v>1463</v>
      </c>
      <c r="R265" s="44" t="s">
        <v>1463</v>
      </c>
      <c r="S265" s="43"/>
      <c r="T265" s="51">
        <v>43550</v>
      </c>
    </row>
    <row r="266" spans="1:20">
      <c r="A266" s="47" t="s">
        <v>2862</v>
      </c>
      <c r="B266" s="47" t="s">
        <v>2863</v>
      </c>
      <c r="C266" s="48" t="s">
        <v>2864</v>
      </c>
      <c r="D266" s="47" t="s">
        <v>1420</v>
      </c>
      <c r="E266" s="47" t="s">
        <v>1481</v>
      </c>
      <c r="F266" s="47"/>
      <c r="G266" s="47" t="s">
        <v>1461</v>
      </c>
      <c r="H266" s="47" t="s">
        <v>2865</v>
      </c>
      <c r="I266" s="50" t="s">
        <v>2864</v>
      </c>
      <c r="J266" s="50" t="s">
        <v>2866</v>
      </c>
      <c r="K266" s="50" t="s">
        <v>2867</v>
      </c>
      <c r="L266" s="50" t="s">
        <v>1504</v>
      </c>
      <c r="M266" s="50" t="s">
        <v>2868</v>
      </c>
      <c r="N266" s="50" t="s">
        <v>1641</v>
      </c>
      <c r="O266" s="47" t="s">
        <v>2869</v>
      </c>
      <c r="P266" s="47"/>
      <c r="Q266" s="47" t="s">
        <v>1463</v>
      </c>
      <c r="R266" s="47" t="s">
        <v>1463</v>
      </c>
      <c r="S266" s="43"/>
      <c r="T266" s="49">
        <v>43760</v>
      </c>
    </row>
    <row r="267" spans="1:20" ht="26.45">
      <c r="A267" s="44" t="s">
        <v>132</v>
      </c>
      <c r="B267" s="44" t="s">
        <v>2870</v>
      </c>
      <c r="C267" s="45" t="s">
        <v>685</v>
      </c>
      <c r="D267" s="44" t="s">
        <v>1420</v>
      </c>
      <c r="E267" s="44" t="s">
        <v>1481</v>
      </c>
      <c r="F267" s="44"/>
      <c r="G267" s="44" t="s">
        <v>1687</v>
      </c>
      <c r="H267" s="44" t="s">
        <v>2871</v>
      </c>
      <c r="I267" s="46" t="s">
        <v>2872</v>
      </c>
      <c r="J267" s="46" t="s">
        <v>2873</v>
      </c>
      <c r="K267" s="46" t="s">
        <v>2867</v>
      </c>
      <c r="L267" s="46" t="s">
        <v>2117</v>
      </c>
      <c r="M267" s="46" t="s">
        <v>2874</v>
      </c>
      <c r="N267" s="46" t="s">
        <v>1641</v>
      </c>
      <c r="O267" s="44" t="s">
        <v>2875</v>
      </c>
      <c r="P267" s="44" t="s">
        <v>2876</v>
      </c>
      <c r="Q267" s="44" t="s">
        <v>1695</v>
      </c>
      <c r="R267" s="44" t="s">
        <v>1463</v>
      </c>
      <c r="S267" s="43"/>
      <c r="T267" s="51">
        <v>45371</v>
      </c>
    </row>
    <row r="268" spans="1:20" ht="26.45">
      <c r="A268" s="47" t="s">
        <v>2877</v>
      </c>
      <c r="B268" s="47" t="s">
        <v>2878</v>
      </c>
      <c r="C268" s="48" t="s">
        <v>2879</v>
      </c>
      <c r="D268" s="47" t="s">
        <v>1420</v>
      </c>
      <c r="E268" s="47" t="s">
        <v>1460</v>
      </c>
      <c r="F268" s="49">
        <v>42822.673598842601</v>
      </c>
      <c r="G268" s="47" t="s">
        <v>1466</v>
      </c>
      <c r="H268" s="47" t="s">
        <v>2880</v>
      </c>
      <c r="I268" s="50" t="s">
        <v>2879</v>
      </c>
      <c r="J268" s="50" t="s">
        <v>2881</v>
      </c>
      <c r="K268" s="50" t="s">
        <v>2867</v>
      </c>
      <c r="L268" s="50" t="s">
        <v>1504</v>
      </c>
      <c r="M268" s="50" t="s">
        <v>2882</v>
      </c>
      <c r="N268" s="50" t="s">
        <v>1641</v>
      </c>
      <c r="O268" s="47" t="s">
        <v>2262</v>
      </c>
      <c r="P268" s="47"/>
      <c r="Q268" s="47" t="s">
        <v>1463</v>
      </c>
      <c r="R268" s="47" t="s">
        <v>1463</v>
      </c>
      <c r="S268" s="43"/>
      <c r="T268" s="49">
        <v>42823</v>
      </c>
    </row>
    <row r="269" spans="1:20" ht="26.45">
      <c r="A269" s="44" t="s">
        <v>133</v>
      </c>
      <c r="B269" s="44" t="s">
        <v>2883</v>
      </c>
      <c r="C269" s="45" t="s">
        <v>686</v>
      </c>
      <c r="D269" s="44" t="s">
        <v>1419</v>
      </c>
      <c r="E269" s="44" t="s">
        <v>1481</v>
      </c>
      <c r="F269" s="44"/>
      <c r="G269" s="44" t="s">
        <v>1466</v>
      </c>
      <c r="H269" s="44" t="s">
        <v>2884</v>
      </c>
      <c r="I269" s="46" t="s">
        <v>2885</v>
      </c>
      <c r="J269" s="46" t="s">
        <v>2886</v>
      </c>
      <c r="K269" s="46" t="s">
        <v>1727</v>
      </c>
      <c r="L269" s="46" t="s">
        <v>1474</v>
      </c>
      <c r="M269" s="46" t="s">
        <v>2887</v>
      </c>
      <c r="N269" s="46" t="s">
        <v>1729</v>
      </c>
      <c r="O269" s="44" t="s">
        <v>2888</v>
      </c>
      <c r="P269" s="44" t="s">
        <v>2889</v>
      </c>
      <c r="Q269" s="44" t="s">
        <v>1463</v>
      </c>
      <c r="R269" s="44" t="s">
        <v>1463</v>
      </c>
      <c r="S269" s="43"/>
      <c r="T269" s="51">
        <v>45559</v>
      </c>
    </row>
    <row r="270" spans="1:20" ht="26.45">
      <c r="A270" s="47" t="s">
        <v>134</v>
      </c>
      <c r="B270" s="47" t="s">
        <v>2890</v>
      </c>
      <c r="C270" s="48" t="s">
        <v>686</v>
      </c>
      <c r="D270" s="47" t="s">
        <v>1419</v>
      </c>
      <c r="E270" s="47" t="s">
        <v>1481</v>
      </c>
      <c r="F270" s="47"/>
      <c r="G270" s="47" t="s">
        <v>1466</v>
      </c>
      <c r="H270" s="47" t="s">
        <v>2891</v>
      </c>
      <c r="I270" s="50" t="s">
        <v>2885</v>
      </c>
      <c r="J270" s="50" t="s">
        <v>2886</v>
      </c>
      <c r="K270" s="50" t="s">
        <v>1727</v>
      </c>
      <c r="L270" s="50" t="s">
        <v>1474</v>
      </c>
      <c r="M270" s="50" t="s">
        <v>2887</v>
      </c>
      <c r="N270" s="50" t="s">
        <v>1729</v>
      </c>
      <c r="O270" s="47" t="s">
        <v>2888</v>
      </c>
      <c r="P270" s="47" t="s">
        <v>2889</v>
      </c>
      <c r="Q270" s="47" t="s">
        <v>1463</v>
      </c>
      <c r="R270" s="47" t="s">
        <v>1463</v>
      </c>
      <c r="S270" s="43"/>
      <c r="T270" s="49">
        <v>45559</v>
      </c>
    </row>
    <row r="271" spans="1:20" ht="26.45">
      <c r="A271" s="44" t="s">
        <v>135</v>
      </c>
      <c r="B271" s="44" t="s">
        <v>2892</v>
      </c>
      <c r="C271" s="45" t="s">
        <v>687</v>
      </c>
      <c r="D271" s="44" t="s">
        <v>1420</v>
      </c>
      <c r="E271" s="44" t="s">
        <v>1481</v>
      </c>
      <c r="F271" s="44"/>
      <c r="G271" s="44" t="s">
        <v>1687</v>
      </c>
      <c r="H271" s="44" t="s">
        <v>2893</v>
      </c>
      <c r="I271" s="46" t="s">
        <v>2894</v>
      </c>
      <c r="J271" s="46" t="s">
        <v>2895</v>
      </c>
      <c r="K271" s="46" t="s">
        <v>2896</v>
      </c>
      <c r="L271" s="46" t="s">
        <v>2897</v>
      </c>
      <c r="M271" s="46" t="s">
        <v>2898</v>
      </c>
      <c r="N271" s="46" t="s">
        <v>1531</v>
      </c>
      <c r="O271" s="44" t="s">
        <v>2899</v>
      </c>
      <c r="P271" s="44" t="s">
        <v>2900</v>
      </c>
      <c r="Q271" s="44" t="s">
        <v>1695</v>
      </c>
      <c r="R271" s="44" t="s">
        <v>1463</v>
      </c>
      <c r="S271" s="43"/>
      <c r="T271" s="51">
        <v>45338</v>
      </c>
    </row>
    <row r="272" spans="1:20" ht="26.45">
      <c r="A272" s="47" t="s">
        <v>2901</v>
      </c>
      <c r="B272" s="47" t="s">
        <v>2902</v>
      </c>
      <c r="C272" s="48" t="s">
        <v>2903</v>
      </c>
      <c r="D272" s="47" t="s">
        <v>1414</v>
      </c>
      <c r="E272" s="47" t="s">
        <v>1481</v>
      </c>
      <c r="F272" s="49">
        <v>42885.848765243099</v>
      </c>
      <c r="G272" s="47" t="s">
        <v>1466</v>
      </c>
      <c r="H272" s="47"/>
      <c r="I272" s="50" t="s">
        <v>2904</v>
      </c>
      <c r="J272" s="50" t="s">
        <v>2905</v>
      </c>
      <c r="K272" s="50" t="s">
        <v>1484</v>
      </c>
      <c r="L272" s="50" t="s">
        <v>1504</v>
      </c>
      <c r="M272" s="50" t="s">
        <v>2906</v>
      </c>
      <c r="N272" s="50" t="s">
        <v>1641</v>
      </c>
      <c r="O272" s="47" t="s">
        <v>2262</v>
      </c>
      <c r="P272" s="47"/>
      <c r="Q272" s="47" t="s">
        <v>1463</v>
      </c>
      <c r="R272" s="47" t="s">
        <v>1463</v>
      </c>
      <c r="S272" s="43"/>
      <c r="T272" s="49">
        <v>45257</v>
      </c>
    </row>
    <row r="273" spans="1:20">
      <c r="A273" s="44" t="s">
        <v>2907</v>
      </c>
      <c r="B273" s="44" t="s">
        <v>2908</v>
      </c>
      <c r="C273" s="45" t="s">
        <v>2909</v>
      </c>
      <c r="D273" s="44" t="s">
        <v>1419</v>
      </c>
      <c r="E273" s="44" t="s">
        <v>1481</v>
      </c>
      <c r="F273" s="44"/>
      <c r="G273" s="44" t="s">
        <v>1461</v>
      </c>
      <c r="H273" s="44"/>
      <c r="I273" s="46"/>
      <c r="J273" s="46" t="s">
        <v>2910</v>
      </c>
      <c r="K273" s="46" t="s">
        <v>2911</v>
      </c>
      <c r="L273" s="46" t="s">
        <v>1504</v>
      </c>
      <c r="M273" s="46" t="s">
        <v>2912</v>
      </c>
      <c r="N273" s="46"/>
      <c r="O273" s="44" t="s">
        <v>2913</v>
      </c>
      <c r="P273" s="44"/>
      <c r="Q273" s="44" t="s">
        <v>1463</v>
      </c>
      <c r="R273" s="44" t="s">
        <v>1463</v>
      </c>
      <c r="S273" s="43"/>
      <c r="T273" s="51">
        <v>43185</v>
      </c>
    </row>
    <row r="274" spans="1:20">
      <c r="A274" s="47" t="s">
        <v>2914</v>
      </c>
      <c r="B274" s="47" t="s">
        <v>2915</v>
      </c>
      <c r="C274" s="48" t="s">
        <v>2909</v>
      </c>
      <c r="D274" s="47" t="s">
        <v>1419</v>
      </c>
      <c r="E274" s="47" t="s">
        <v>1460</v>
      </c>
      <c r="F274" s="49">
        <v>43019.992294409698</v>
      </c>
      <c r="G274" s="47" t="s">
        <v>1618</v>
      </c>
      <c r="H274" s="47"/>
      <c r="I274" s="50" t="s">
        <v>2909</v>
      </c>
      <c r="J274" s="50" t="s">
        <v>2910</v>
      </c>
      <c r="K274" s="50" t="s">
        <v>2911</v>
      </c>
      <c r="L274" s="50"/>
      <c r="M274" s="50" t="s">
        <v>2916</v>
      </c>
      <c r="N274" s="50"/>
      <c r="O274" s="47" t="s">
        <v>2913</v>
      </c>
      <c r="P274" s="47"/>
      <c r="Q274" s="47" t="s">
        <v>1463</v>
      </c>
      <c r="R274" s="47" t="s">
        <v>1463</v>
      </c>
      <c r="S274" s="43"/>
      <c r="T274" s="49">
        <v>43185</v>
      </c>
    </row>
    <row r="275" spans="1:20">
      <c r="A275" s="44" t="s">
        <v>2917</v>
      </c>
      <c r="B275" s="44"/>
      <c r="C275" s="45" t="s">
        <v>2918</v>
      </c>
      <c r="D275" s="44" t="s">
        <v>1419</v>
      </c>
      <c r="E275" s="44" t="s">
        <v>1460</v>
      </c>
      <c r="F275" s="51">
        <v>41457.382442557901</v>
      </c>
      <c r="G275" s="44" t="s">
        <v>1466</v>
      </c>
      <c r="H275" s="44"/>
      <c r="I275" s="46"/>
      <c r="J275" s="46"/>
      <c r="K275" s="46"/>
      <c r="L275" s="46"/>
      <c r="M275" s="46"/>
      <c r="N275" s="46"/>
      <c r="O275" s="44"/>
      <c r="P275" s="44"/>
      <c r="Q275" s="44" t="s">
        <v>1463</v>
      </c>
      <c r="R275" s="44" t="s">
        <v>1463</v>
      </c>
      <c r="S275" s="43"/>
      <c r="T275" s="44"/>
    </row>
    <row r="276" spans="1:20" ht="26.45">
      <c r="A276" s="47" t="s">
        <v>136</v>
      </c>
      <c r="B276" s="47" t="s">
        <v>2919</v>
      </c>
      <c r="C276" s="48" t="s">
        <v>688</v>
      </c>
      <c r="D276" s="47" t="s">
        <v>1414</v>
      </c>
      <c r="E276" s="47" t="s">
        <v>1481</v>
      </c>
      <c r="F276" s="47"/>
      <c r="G276" s="47" t="s">
        <v>1466</v>
      </c>
      <c r="H276" s="47" t="s">
        <v>2920</v>
      </c>
      <c r="I276" s="50" t="s">
        <v>2921</v>
      </c>
      <c r="J276" s="50" t="s">
        <v>2922</v>
      </c>
      <c r="K276" s="50" t="s">
        <v>1484</v>
      </c>
      <c r="L276" s="50" t="s">
        <v>1504</v>
      </c>
      <c r="M276" s="50" t="s">
        <v>2923</v>
      </c>
      <c r="N276" s="50" t="s">
        <v>1495</v>
      </c>
      <c r="O276" s="47" t="s">
        <v>2924</v>
      </c>
      <c r="P276" s="47" t="s">
        <v>2925</v>
      </c>
      <c r="Q276" s="47" t="s">
        <v>1463</v>
      </c>
      <c r="R276" s="47" t="s">
        <v>1463</v>
      </c>
      <c r="S276" s="43"/>
      <c r="T276" s="49">
        <v>45425</v>
      </c>
    </row>
    <row r="277" spans="1:20">
      <c r="A277" s="44" t="s">
        <v>2926</v>
      </c>
      <c r="B277" s="44" t="s">
        <v>2927</v>
      </c>
      <c r="C277" s="45" t="s">
        <v>2928</v>
      </c>
      <c r="D277" s="44" t="s">
        <v>1419</v>
      </c>
      <c r="E277" s="44" t="s">
        <v>1481</v>
      </c>
      <c r="F277" s="44"/>
      <c r="G277" s="44" t="s">
        <v>1466</v>
      </c>
      <c r="H277" s="44"/>
      <c r="I277" s="46"/>
      <c r="J277" s="46"/>
      <c r="K277" s="46"/>
      <c r="L277" s="46"/>
      <c r="M277" s="46"/>
      <c r="N277" s="46"/>
      <c r="O277" s="44"/>
      <c r="P277" s="44"/>
      <c r="Q277" s="44" t="s">
        <v>1463</v>
      </c>
      <c r="R277" s="44" t="s">
        <v>1463</v>
      </c>
      <c r="S277" s="43"/>
      <c r="T277" s="44"/>
    </row>
    <row r="278" spans="1:20" ht="26.45">
      <c r="A278" s="47" t="s">
        <v>689</v>
      </c>
      <c r="B278" s="47" t="s">
        <v>2929</v>
      </c>
      <c r="C278" s="48" t="s">
        <v>690</v>
      </c>
      <c r="D278" s="47" t="s">
        <v>1432</v>
      </c>
      <c r="E278" s="47" t="s">
        <v>1481</v>
      </c>
      <c r="F278" s="47"/>
      <c r="G278" s="47" t="s">
        <v>1466</v>
      </c>
      <c r="H278" s="47" t="s">
        <v>2930</v>
      </c>
      <c r="I278" s="50" t="s">
        <v>2931</v>
      </c>
      <c r="J278" s="50" t="s">
        <v>2932</v>
      </c>
      <c r="K278" s="50" t="s">
        <v>2933</v>
      </c>
      <c r="L278" s="50" t="s">
        <v>1474</v>
      </c>
      <c r="M278" s="50" t="s">
        <v>2934</v>
      </c>
      <c r="N278" s="50" t="s">
        <v>1531</v>
      </c>
      <c r="O278" s="47" t="s">
        <v>2935</v>
      </c>
      <c r="P278" s="47" t="s">
        <v>2936</v>
      </c>
      <c r="Q278" s="47" t="s">
        <v>1463</v>
      </c>
      <c r="R278" s="47" t="s">
        <v>1463</v>
      </c>
      <c r="S278" s="43"/>
      <c r="T278" s="49">
        <v>45385</v>
      </c>
    </row>
    <row r="279" spans="1:20">
      <c r="A279" s="44" t="s">
        <v>2937</v>
      </c>
      <c r="B279" s="44"/>
      <c r="C279" s="45" t="s">
        <v>2938</v>
      </c>
      <c r="D279" s="44" t="s">
        <v>1419</v>
      </c>
      <c r="E279" s="44" t="s">
        <v>1460</v>
      </c>
      <c r="F279" s="44"/>
      <c r="G279" s="44" t="s">
        <v>1466</v>
      </c>
      <c r="H279" s="44"/>
      <c r="I279" s="46"/>
      <c r="J279" s="46"/>
      <c r="K279" s="46"/>
      <c r="L279" s="46"/>
      <c r="M279" s="46"/>
      <c r="N279" s="46"/>
      <c r="O279" s="44"/>
      <c r="P279" s="44"/>
      <c r="Q279" s="44" t="s">
        <v>1463</v>
      </c>
      <c r="R279" s="44" t="s">
        <v>1463</v>
      </c>
      <c r="S279" s="43"/>
      <c r="T279" s="44"/>
    </row>
    <row r="280" spans="1:20" ht="26.45">
      <c r="A280" s="47" t="s">
        <v>137</v>
      </c>
      <c r="B280" s="47" t="s">
        <v>2939</v>
      </c>
      <c r="C280" s="48" t="s">
        <v>691</v>
      </c>
      <c r="D280" s="47" t="s">
        <v>1419</v>
      </c>
      <c r="E280" s="47" t="s">
        <v>1481</v>
      </c>
      <c r="F280" s="47"/>
      <c r="G280" s="47" t="s">
        <v>1466</v>
      </c>
      <c r="H280" s="47" t="s">
        <v>2940</v>
      </c>
      <c r="I280" s="50" t="s">
        <v>2941</v>
      </c>
      <c r="J280" s="50" t="s">
        <v>2942</v>
      </c>
      <c r="K280" s="50" t="s">
        <v>1493</v>
      </c>
      <c r="L280" s="50" t="s">
        <v>1474</v>
      </c>
      <c r="M280" s="50" t="s">
        <v>2943</v>
      </c>
      <c r="N280" s="50" t="s">
        <v>1495</v>
      </c>
      <c r="O280" s="47" t="s">
        <v>2944</v>
      </c>
      <c r="P280" s="47" t="s">
        <v>2945</v>
      </c>
      <c r="Q280" s="47" t="s">
        <v>1463</v>
      </c>
      <c r="R280" s="47" t="s">
        <v>1463</v>
      </c>
      <c r="S280" s="43"/>
      <c r="T280" s="49">
        <v>45614</v>
      </c>
    </row>
    <row r="281" spans="1:20">
      <c r="A281" s="44" t="s">
        <v>2946</v>
      </c>
      <c r="B281" s="44"/>
      <c r="C281" s="45" t="s">
        <v>2947</v>
      </c>
      <c r="D281" s="44" t="s">
        <v>1419</v>
      </c>
      <c r="E281" s="44" t="s">
        <v>1460</v>
      </c>
      <c r="F281" s="44"/>
      <c r="G281" s="44" t="s">
        <v>1466</v>
      </c>
      <c r="H281" s="44"/>
      <c r="I281" s="46"/>
      <c r="J281" s="46"/>
      <c r="K281" s="46"/>
      <c r="L281" s="46"/>
      <c r="M281" s="46"/>
      <c r="N281" s="46"/>
      <c r="O281" s="44"/>
      <c r="P281" s="44"/>
      <c r="Q281" s="44" t="s">
        <v>1463</v>
      </c>
      <c r="R281" s="44" t="s">
        <v>1463</v>
      </c>
      <c r="S281" s="43"/>
      <c r="T281" s="44"/>
    </row>
    <row r="282" spans="1:20">
      <c r="A282" s="47" t="s">
        <v>2948</v>
      </c>
      <c r="B282" s="47"/>
      <c r="C282" s="48" t="s">
        <v>2949</v>
      </c>
      <c r="D282" s="47" t="s">
        <v>1419</v>
      </c>
      <c r="E282" s="47" t="s">
        <v>1460</v>
      </c>
      <c r="F282" s="49">
        <v>41605.7530962616</v>
      </c>
      <c r="G282" s="47" t="s">
        <v>1466</v>
      </c>
      <c r="H282" s="47"/>
      <c r="I282" s="50"/>
      <c r="J282" s="50"/>
      <c r="K282" s="50"/>
      <c r="L282" s="50"/>
      <c r="M282" s="50"/>
      <c r="N282" s="50"/>
      <c r="O282" s="47"/>
      <c r="P282" s="47"/>
      <c r="Q282" s="47" t="s">
        <v>1463</v>
      </c>
      <c r="R282" s="47" t="s">
        <v>1463</v>
      </c>
      <c r="S282" s="43"/>
      <c r="T282" s="47"/>
    </row>
    <row r="283" spans="1:20" ht="26.45">
      <c r="A283" s="44" t="s">
        <v>692</v>
      </c>
      <c r="B283" s="44" t="s">
        <v>2950</v>
      </c>
      <c r="C283" s="45" t="s">
        <v>693</v>
      </c>
      <c r="D283" s="44" t="s">
        <v>1425</v>
      </c>
      <c r="E283" s="44" t="s">
        <v>1481</v>
      </c>
      <c r="F283" s="44"/>
      <c r="G283" s="44" t="s">
        <v>1466</v>
      </c>
      <c r="H283" s="44" t="s">
        <v>2951</v>
      </c>
      <c r="I283" s="46" t="s">
        <v>693</v>
      </c>
      <c r="J283" s="46" t="s">
        <v>2952</v>
      </c>
      <c r="K283" s="46" t="s">
        <v>1425</v>
      </c>
      <c r="L283" s="46" t="s">
        <v>1474</v>
      </c>
      <c r="M283" s="46" t="s">
        <v>2953</v>
      </c>
      <c r="N283" s="46" t="s">
        <v>1495</v>
      </c>
      <c r="O283" s="44" t="s">
        <v>2954</v>
      </c>
      <c r="P283" s="44" t="s">
        <v>2955</v>
      </c>
      <c r="Q283" s="44" t="s">
        <v>1463</v>
      </c>
      <c r="R283" s="44" t="s">
        <v>1463</v>
      </c>
      <c r="S283" s="43"/>
      <c r="T283" s="51">
        <v>45635</v>
      </c>
    </row>
    <row r="284" spans="1:20" ht="26.45">
      <c r="A284" s="47" t="s">
        <v>138</v>
      </c>
      <c r="B284" s="47" t="s">
        <v>2956</v>
      </c>
      <c r="C284" s="48" t="s">
        <v>694</v>
      </c>
      <c r="D284" s="47" t="s">
        <v>1419</v>
      </c>
      <c r="E284" s="47" t="s">
        <v>1481</v>
      </c>
      <c r="F284" s="47"/>
      <c r="G284" s="47" t="s">
        <v>1687</v>
      </c>
      <c r="H284" s="47" t="s">
        <v>2957</v>
      </c>
      <c r="I284" s="50" t="s">
        <v>2958</v>
      </c>
      <c r="J284" s="50" t="s">
        <v>2959</v>
      </c>
      <c r="K284" s="50" t="s">
        <v>1493</v>
      </c>
      <c r="L284" s="50" t="s">
        <v>1504</v>
      </c>
      <c r="M284" s="50" t="s">
        <v>2960</v>
      </c>
      <c r="N284" s="50" t="s">
        <v>1629</v>
      </c>
      <c r="O284" s="47" t="s">
        <v>2961</v>
      </c>
      <c r="P284" s="47" t="s">
        <v>2962</v>
      </c>
      <c r="Q284" s="47" t="s">
        <v>1463</v>
      </c>
      <c r="R284" s="47" t="s">
        <v>1463</v>
      </c>
      <c r="S284" s="43"/>
      <c r="T284" s="49">
        <v>45568</v>
      </c>
    </row>
    <row r="285" spans="1:20" ht="26.45">
      <c r="A285" s="44" t="s">
        <v>139</v>
      </c>
      <c r="B285" s="44" t="s">
        <v>2963</v>
      </c>
      <c r="C285" s="45" t="s">
        <v>695</v>
      </c>
      <c r="D285" s="44" t="s">
        <v>1419</v>
      </c>
      <c r="E285" s="44" t="s">
        <v>1481</v>
      </c>
      <c r="F285" s="44"/>
      <c r="G285" s="44" t="s">
        <v>1466</v>
      </c>
      <c r="H285" s="44" t="s">
        <v>2964</v>
      </c>
      <c r="I285" s="46" t="s">
        <v>695</v>
      </c>
      <c r="J285" s="46" t="s">
        <v>2965</v>
      </c>
      <c r="K285" s="46" t="s">
        <v>1493</v>
      </c>
      <c r="L285" s="46" t="s">
        <v>1504</v>
      </c>
      <c r="M285" s="46" t="s">
        <v>2966</v>
      </c>
      <c r="N285" s="46" t="s">
        <v>1729</v>
      </c>
      <c r="O285" s="44" t="s">
        <v>2967</v>
      </c>
      <c r="P285" s="44" t="s">
        <v>2968</v>
      </c>
      <c r="Q285" s="44" t="s">
        <v>1463</v>
      </c>
      <c r="R285" s="44" t="s">
        <v>1463</v>
      </c>
      <c r="S285" s="43"/>
      <c r="T285" s="51">
        <v>45579</v>
      </c>
    </row>
    <row r="286" spans="1:20" ht="39.6">
      <c r="A286" s="47" t="s">
        <v>2969</v>
      </c>
      <c r="B286" s="47" t="s">
        <v>2970</v>
      </c>
      <c r="C286" s="48" t="s">
        <v>2971</v>
      </c>
      <c r="D286" s="47" t="s">
        <v>1410</v>
      </c>
      <c r="E286" s="47" t="s">
        <v>1481</v>
      </c>
      <c r="F286" s="47"/>
      <c r="G286" s="47" t="s">
        <v>1511</v>
      </c>
      <c r="H286" s="47" t="s">
        <v>2972</v>
      </c>
      <c r="I286" s="50" t="s">
        <v>2971</v>
      </c>
      <c r="J286" s="50" t="s">
        <v>2973</v>
      </c>
      <c r="K286" s="50" t="s">
        <v>2974</v>
      </c>
      <c r="L286" s="50" t="s">
        <v>1504</v>
      </c>
      <c r="M286" s="50" t="s">
        <v>2975</v>
      </c>
      <c r="N286" s="50" t="s">
        <v>1641</v>
      </c>
      <c r="O286" s="47" t="s">
        <v>2976</v>
      </c>
      <c r="P286" s="47"/>
      <c r="Q286" s="47" t="s">
        <v>1463</v>
      </c>
      <c r="R286" s="47" t="s">
        <v>1463</v>
      </c>
      <c r="S286" s="43"/>
      <c r="T286" s="49">
        <v>43658</v>
      </c>
    </row>
    <row r="287" spans="1:20">
      <c r="A287" s="44" t="s">
        <v>2977</v>
      </c>
      <c r="B287" s="44"/>
      <c r="C287" s="45" t="s">
        <v>2978</v>
      </c>
      <c r="D287" s="44" t="s">
        <v>1410</v>
      </c>
      <c r="E287" s="44" t="s">
        <v>1460</v>
      </c>
      <c r="F287" s="44"/>
      <c r="G287" s="44" t="s">
        <v>1466</v>
      </c>
      <c r="H287" s="44"/>
      <c r="I287" s="46"/>
      <c r="J287" s="46"/>
      <c r="K287" s="46"/>
      <c r="L287" s="46"/>
      <c r="M287" s="46"/>
      <c r="N287" s="46"/>
      <c r="O287" s="44"/>
      <c r="P287" s="44"/>
      <c r="Q287" s="44" t="s">
        <v>1463</v>
      </c>
      <c r="R287" s="44" t="s">
        <v>1463</v>
      </c>
      <c r="S287" s="43"/>
      <c r="T287" s="44"/>
    </row>
    <row r="288" spans="1:20">
      <c r="A288" s="47" t="s">
        <v>2979</v>
      </c>
      <c r="B288" s="47" t="s">
        <v>2980</v>
      </c>
      <c r="C288" s="48" t="s">
        <v>2981</v>
      </c>
      <c r="D288" s="47" t="s">
        <v>1414</v>
      </c>
      <c r="E288" s="47" t="s">
        <v>1481</v>
      </c>
      <c r="F288" s="47"/>
      <c r="G288" s="47" t="s">
        <v>1461</v>
      </c>
      <c r="H288" s="47"/>
      <c r="I288" s="50" t="s">
        <v>2981</v>
      </c>
      <c r="J288" s="50" t="s">
        <v>2982</v>
      </c>
      <c r="K288" s="50" t="s">
        <v>1484</v>
      </c>
      <c r="L288" s="50" t="s">
        <v>1504</v>
      </c>
      <c r="M288" s="50" t="s">
        <v>2983</v>
      </c>
      <c r="N288" s="50" t="s">
        <v>1629</v>
      </c>
      <c r="O288" s="47" t="s">
        <v>2984</v>
      </c>
      <c r="P288" s="47"/>
      <c r="Q288" s="47" t="s">
        <v>1463</v>
      </c>
      <c r="R288" s="47" t="s">
        <v>1463</v>
      </c>
      <c r="S288" s="43"/>
      <c r="T288" s="49">
        <v>43234</v>
      </c>
    </row>
    <row r="289" spans="1:20" ht="26.45">
      <c r="A289" s="44" t="s">
        <v>140</v>
      </c>
      <c r="B289" s="44" t="s">
        <v>2985</v>
      </c>
      <c r="C289" s="45" t="s">
        <v>696</v>
      </c>
      <c r="D289" s="44" t="s">
        <v>1410</v>
      </c>
      <c r="E289" s="44" t="s">
        <v>1481</v>
      </c>
      <c r="F289" s="44"/>
      <c r="G289" s="44" t="s">
        <v>1687</v>
      </c>
      <c r="H289" s="44" t="s">
        <v>2986</v>
      </c>
      <c r="I289" s="46" t="s">
        <v>2987</v>
      </c>
      <c r="J289" s="46" t="s">
        <v>2988</v>
      </c>
      <c r="K289" s="46" t="s">
        <v>2989</v>
      </c>
      <c r="L289" s="46" t="s">
        <v>1504</v>
      </c>
      <c r="M289" s="46" t="s">
        <v>2990</v>
      </c>
      <c r="N289" s="46" t="s">
        <v>1531</v>
      </c>
      <c r="O289" s="44" t="s">
        <v>2991</v>
      </c>
      <c r="P289" s="44" t="s">
        <v>2992</v>
      </c>
      <c r="Q289" s="44" t="s">
        <v>1463</v>
      </c>
      <c r="R289" s="44" t="s">
        <v>1463</v>
      </c>
      <c r="S289" s="43"/>
      <c r="T289" s="51">
        <v>45687</v>
      </c>
    </row>
    <row r="290" spans="1:20" ht="26.45">
      <c r="A290" s="47" t="s">
        <v>697</v>
      </c>
      <c r="B290" s="47" t="s">
        <v>2993</v>
      </c>
      <c r="C290" s="48" t="s">
        <v>698</v>
      </c>
      <c r="D290" s="47" t="s">
        <v>1410</v>
      </c>
      <c r="E290" s="47" t="s">
        <v>1481</v>
      </c>
      <c r="F290" s="47"/>
      <c r="G290" s="47" t="s">
        <v>1687</v>
      </c>
      <c r="H290" s="47" t="s">
        <v>2994</v>
      </c>
      <c r="I290" s="50" t="s">
        <v>698</v>
      </c>
      <c r="J290" s="50" t="s">
        <v>2995</v>
      </c>
      <c r="K290" s="50" t="s">
        <v>2989</v>
      </c>
      <c r="L290" s="50" t="s">
        <v>1504</v>
      </c>
      <c r="M290" s="50" t="s">
        <v>2996</v>
      </c>
      <c r="N290" s="50" t="s">
        <v>1641</v>
      </c>
      <c r="O290" s="47" t="s">
        <v>2997</v>
      </c>
      <c r="P290" s="47" t="s">
        <v>2998</v>
      </c>
      <c r="Q290" s="47" t="s">
        <v>1695</v>
      </c>
      <c r="R290" s="47" t="s">
        <v>1463</v>
      </c>
      <c r="S290" s="43"/>
      <c r="T290" s="49">
        <v>45623</v>
      </c>
    </row>
    <row r="291" spans="1:20">
      <c r="A291" s="44" t="s">
        <v>2999</v>
      </c>
      <c r="B291" s="44" t="s">
        <v>3000</v>
      </c>
      <c r="C291" s="45" t="s">
        <v>3001</v>
      </c>
      <c r="D291" s="44" t="s">
        <v>1410</v>
      </c>
      <c r="E291" s="44" t="s">
        <v>1481</v>
      </c>
      <c r="F291" s="44"/>
      <c r="G291" s="44" t="s">
        <v>1466</v>
      </c>
      <c r="H291" s="44" t="s">
        <v>3002</v>
      </c>
      <c r="I291" s="46" t="s">
        <v>3001</v>
      </c>
      <c r="J291" s="46" t="s">
        <v>3003</v>
      </c>
      <c r="K291" s="46" t="s">
        <v>3004</v>
      </c>
      <c r="L291" s="46" t="s">
        <v>1504</v>
      </c>
      <c r="M291" s="46" t="s">
        <v>3005</v>
      </c>
      <c r="N291" s="46" t="s">
        <v>1641</v>
      </c>
      <c r="O291" s="44" t="s">
        <v>2997</v>
      </c>
      <c r="P291" s="44"/>
      <c r="Q291" s="44" t="s">
        <v>1463</v>
      </c>
      <c r="R291" s="44" t="s">
        <v>1463</v>
      </c>
      <c r="S291" s="43"/>
      <c r="T291" s="51">
        <v>44490</v>
      </c>
    </row>
    <row r="292" spans="1:20" ht="26.45">
      <c r="A292" s="47" t="s">
        <v>3006</v>
      </c>
      <c r="B292" s="47" t="s">
        <v>3007</v>
      </c>
      <c r="C292" s="48" t="s">
        <v>3008</v>
      </c>
      <c r="D292" s="47" t="s">
        <v>1414</v>
      </c>
      <c r="E292" s="47" t="s">
        <v>1481</v>
      </c>
      <c r="F292" s="47"/>
      <c r="G292" s="47" t="s">
        <v>1490</v>
      </c>
      <c r="H292" s="47" t="s">
        <v>3009</v>
      </c>
      <c r="I292" s="50" t="s">
        <v>3008</v>
      </c>
      <c r="J292" s="50" t="s">
        <v>3010</v>
      </c>
      <c r="K292" s="50" t="s">
        <v>1484</v>
      </c>
      <c r="L292" s="50" t="s">
        <v>1474</v>
      </c>
      <c r="M292" s="50" t="s">
        <v>3011</v>
      </c>
      <c r="N292" s="50" t="s">
        <v>1495</v>
      </c>
      <c r="O292" s="47"/>
      <c r="P292" s="47"/>
      <c r="Q292" s="47" t="s">
        <v>1463</v>
      </c>
      <c r="R292" s="47" t="s">
        <v>1463</v>
      </c>
      <c r="S292" s="43"/>
      <c r="T292" s="49">
        <v>45446</v>
      </c>
    </row>
    <row r="293" spans="1:20">
      <c r="A293" s="44" t="s">
        <v>3012</v>
      </c>
      <c r="B293" s="44"/>
      <c r="C293" s="45" t="s">
        <v>3013</v>
      </c>
      <c r="D293" s="44" t="s">
        <v>1419</v>
      </c>
      <c r="E293" s="44" t="s">
        <v>1460</v>
      </c>
      <c r="F293" s="51">
        <v>41457.382442442096</v>
      </c>
      <c r="G293" s="44" t="s">
        <v>1466</v>
      </c>
      <c r="H293" s="44"/>
      <c r="I293" s="46"/>
      <c r="J293" s="46"/>
      <c r="K293" s="46"/>
      <c r="L293" s="46"/>
      <c r="M293" s="46"/>
      <c r="N293" s="46"/>
      <c r="O293" s="44"/>
      <c r="P293" s="44"/>
      <c r="Q293" s="44" t="s">
        <v>1463</v>
      </c>
      <c r="R293" s="44" t="s">
        <v>1463</v>
      </c>
      <c r="S293" s="43"/>
      <c r="T293" s="44"/>
    </row>
    <row r="294" spans="1:20" ht="26.45">
      <c r="A294" s="47" t="s">
        <v>141</v>
      </c>
      <c r="B294" s="47" t="s">
        <v>3014</v>
      </c>
      <c r="C294" s="48" t="s">
        <v>699</v>
      </c>
      <c r="D294" s="47" t="s">
        <v>1414</v>
      </c>
      <c r="E294" s="47" t="s">
        <v>1481</v>
      </c>
      <c r="F294" s="47"/>
      <c r="G294" s="47" t="s">
        <v>1687</v>
      </c>
      <c r="H294" s="47" t="s">
        <v>3015</v>
      </c>
      <c r="I294" s="50" t="s">
        <v>3016</v>
      </c>
      <c r="J294" s="50" t="s">
        <v>3017</v>
      </c>
      <c r="K294" s="50" t="s">
        <v>1484</v>
      </c>
      <c r="L294" s="50" t="s">
        <v>1474</v>
      </c>
      <c r="M294" s="50" t="s">
        <v>3018</v>
      </c>
      <c r="N294" s="50" t="s">
        <v>1531</v>
      </c>
      <c r="O294" s="47" t="s">
        <v>3019</v>
      </c>
      <c r="P294" s="47" t="s">
        <v>3020</v>
      </c>
      <c r="Q294" s="47" t="s">
        <v>1695</v>
      </c>
      <c r="R294" s="47" t="s">
        <v>1463</v>
      </c>
      <c r="S294" s="43"/>
      <c r="T294" s="49">
        <v>45315</v>
      </c>
    </row>
    <row r="295" spans="1:20">
      <c r="A295" s="44" t="s">
        <v>3021</v>
      </c>
      <c r="B295" s="44" t="s">
        <v>3022</v>
      </c>
      <c r="C295" s="45" t="s">
        <v>3023</v>
      </c>
      <c r="D295" s="44" t="s">
        <v>1425</v>
      </c>
      <c r="E295" s="44" t="s">
        <v>1481</v>
      </c>
      <c r="F295" s="44"/>
      <c r="G295" s="44" t="s">
        <v>1461</v>
      </c>
      <c r="H295" s="44"/>
      <c r="I295" s="46"/>
      <c r="J295" s="46"/>
      <c r="K295" s="46"/>
      <c r="L295" s="46"/>
      <c r="M295" s="46"/>
      <c r="N295" s="46"/>
      <c r="O295" s="44"/>
      <c r="P295" s="44"/>
      <c r="Q295" s="44" t="s">
        <v>1463</v>
      </c>
      <c r="R295" s="44" t="s">
        <v>1463</v>
      </c>
      <c r="S295" s="43"/>
      <c r="T295" s="44"/>
    </row>
    <row r="296" spans="1:20" ht="26.45">
      <c r="A296" s="47" t="s">
        <v>142</v>
      </c>
      <c r="B296" s="47" t="s">
        <v>3024</v>
      </c>
      <c r="C296" s="48" t="s">
        <v>700</v>
      </c>
      <c r="D296" s="47" t="s">
        <v>1419</v>
      </c>
      <c r="E296" s="47" t="s">
        <v>1481</v>
      </c>
      <c r="F296" s="47"/>
      <c r="G296" s="47" t="s">
        <v>1466</v>
      </c>
      <c r="H296" s="47" t="s">
        <v>3025</v>
      </c>
      <c r="I296" s="50" t="s">
        <v>3026</v>
      </c>
      <c r="J296" s="50" t="s">
        <v>3027</v>
      </c>
      <c r="K296" s="50" t="s">
        <v>1493</v>
      </c>
      <c r="L296" s="50" t="s">
        <v>1504</v>
      </c>
      <c r="M296" s="50" t="s">
        <v>3028</v>
      </c>
      <c r="N296" s="50" t="s">
        <v>1729</v>
      </c>
      <c r="O296" s="47" t="s">
        <v>3029</v>
      </c>
      <c r="P296" s="47" t="s">
        <v>3030</v>
      </c>
      <c r="Q296" s="47" t="s">
        <v>1463</v>
      </c>
      <c r="R296" s="47" t="s">
        <v>1463</v>
      </c>
      <c r="S296" s="43"/>
      <c r="T296" s="49">
        <v>45043</v>
      </c>
    </row>
    <row r="297" spans="1:20" ht="26.45">
      <c r="A297" s="44" t="s">
        <v>143</v>
      </c>
      <c r="B297" s="44" t="s">
        <v>3031</v>
      </c>
      <c r="C297" s="45" t="s">
        <v>701</v>
      </c>
      <c r="D297" s="44" t="s">
        <v>1419</v>
      </c>
      <c r="E297" s="44" t="s">
        <v>1481</v>
      </c>
      <c r="F297" s="44"/>
      <c r="G297" s="44" t="s">
        <v>1687</v>
      </c>
      <c r="H297" s="44" t="s">
        <v>3032</v>
      </c>
      <c r="I297" s="46" t="s">
        <v>3033</v>
      </c>
      <c r="J297" s="46" t="s">
        <v>3034</v>
      </c>
      <c r="K297" s="46" t="s">
        <v>2061</v>
      </c>
      <c r="L297" s="46" t="s">
        <v>1504</v>
      </c>
      <c r="M297" s="46" t="s">
        <v>3035</v>
      </c>
      <c r="N297" s="46" t="s">
        <v>1525</v>
      </c>
      <c r="O297" s="44" t="s">
        <v>3036</v>
      </c>
      <c r="P297" s="44" t="s">
        <v>3037</v>
      </c>
      <c r="Q297" s="44" t="s">
        <v>1463</v>
      </c>
      <c r="R297" s="44" t="s">
        <v>1463</v>
      </c>
      <c r="S297" s="43"/>
      <c r="T297" s="51">
        <v>45611</v>
      </c>
    </row>
    <row r="298" spans="1:20" ht="26.45">
      <c r="A298" s="47" t="s">
        <v>144</v>
      </c>
      <c r="B298" s="47" t="s">
        <v>3038</v>
      </c>
      <c r="C298" s="48" t="s">
        <v>702</v>
      </c>
      <c r="D298" s="47" t="s">
        <v>1432</v>
      </c>
      <c r="E298" s="47" t="s">
        <v>1481</v>
      </c>
      <c r="F298" s="47"/>
      <c r="G298" s="47" t="s">
        <v>1687</v>
      </c>
      <c r="H298" s="47" t="s">
        <v>3039</v>
      </c>
      <c r="I298" s="50" t="s">
        <v>3040</v>
      </c>
      <c r="J298" s="50" t="s">
        <v>3041</v>
      </c>
      <c r="K298" s="50" t="s">
        <v>3042</v>
      </c>
      <c r="L298" s="50" t="s">
        <v>1504</v>
      </c>
      <c r="M298" s="50" t="s">
        <v>3043</v>
      </c>
      <c r="N298" s="50" t="s">
        <v>1641</v>
      </c>
      <c r="O298" s="47" t="s">
        <v>3044</v>
      </c>
      <c r="P298" s="47" t="s">
        <v>3045</v>
      </c>
      <c r="Q298" s="47" t="s">
        <v>1695</v>
      </c>
      <c r="R298" s="47" t="s">
        <v>1463</v>
      </c>
      <c r="S298" s="43"/>
      <c r="T298" s="49">
        <v>45505</v>
      </c>
    </row>
    <row r="299" spans="1:20" ht="26.45">
      <c r="A299" s="44" t="s">
        <v>145</v>
      </c>
      <c r="B299" s="44" t="s">
        <v>3046</v>
      </c>
      <c r="C299" s="45" t="s">
        <v>703</v>
      </c>
      <c r="D299" s="44" t="s">
        <v>1428</v>
      </c>
      <c r="E299" s="44" t="s">
        <v>1481</v>
      </c>
      <c r="F299" s="44"/>
      <c r="G299" s="44" t="s">
        <v>1466</v>
      </c>
      <c r="H299" s="44" t="s">
        <v>3047</v>
      </c>
      <c r="I299" s="46" t="s">
        <v>3048</v>
      </c>
      <c r="J299" s="46" t="s">
        <v>3049</v>
      </c>
      <c r="K299" s="46" t="s">
        <v>3050</v>
      </c>
      <c r="L299" s="46" t="s">
        <v>1504</v>
      </c>
      <c r="M299" s="46" t="s">
        <v>3051</v>
      </c>
      <c r="N299" s="46" t="s">
        <v>1525</v>
      </c>
      <c r="O299" s="44" t="s">
        <v>3052</v>
      </c>
      <c r="P299" s="44" t="s">
        <v>3053</v>
      </c>
      <c r="Q299" s="44" t="s">
        <v>1463</v>
      </c>
      <c r="R299" s="44" t="s">
        <v>1463</v>
      </c>
      <c r="S299" s="43"/>
      <c r="T299" s="51">
        <v>45358</v>
      </c>
    </row>
    <row r="300" spans="1:20" ht="26.45">
      <c r="A300" s="47" t="s">
        <v>3054</v>
      </c>
      <c r="B300" s="47" t="s">
        <v>3055</v>
      </c>
      <c r="C300" s="48" t="s">
        <v>3056</v>
      </c>
      <c r="D300" s="47" t="s">
        <v>1419</v>
      </c>
      <c r="E300" s="47" t="s">
        <v>1481</v>
      </c>
      <c r="F300" s="47"/>
      <c r="G300" s="47" t="s">
        <v>1461</v>
      </c>
      <c r="H300" s="47"/>
      <c r="I300" s="50" t="s">
        <v>3056</v>
      </c>
      <c r="J300" s="50" t="s">
        <v>3057</v>
      </c>
      <c r="K300" s="50" t="s">
        <v>1493</v>
      </c>
      <c r="L300" s="50" t="s">
        <v>1474</v>
      </c>
      <c r="M300" s="50" t="s">
        <v>3058</v>
      </c>
      <c r="N300" s="50" t="s">
        <v>1495</v>
      </c>
      <c r="O300" s="47" t="s">
        <v>3059</v>
      </c>
      <c r="P300" s="47" t="s">
        <v>3060</v>
      </c>
      <c r="Q300" s="47" t="s">
        <v>1463</v>
      </c>
      <c r="R300" s="47" t="s">
        <v>1463</v>
      </c>
      <c r="S300" s="43"/>
      <c r="T300" s="49">
        <v>45084</v>
      </c>
    </row>
    <row r="301" spans="1:20" ht="26.45">
      <c r="A301" s="44" t="s">
        <v>3061</v>
      </c>
      <c r="B301" s="44" t="s">
        <v>3062</v>
      </c>
      <c r="C301" s="45" t="s">
        <v>3063</v>
      </c>
      <c r="D301" s="44" t="s">
        <v>1410</v>
      </c>
      <c r="E301" s="44" t="s">
        <v>1481</v>
      </c>
      <c r="F301" s="44"/>
      <c r="G301" s="44" t="s">
        <v>1687</v>
      </c>
      <c r="H301" s="44" t="s">
        <v>3064</v>
      </c>
      <c r="I301" s="46" t="s">
        <v>3063</v>
      </c>
      <c r="J301" s="46" t="s">
        <v>3065</v>
      </c>
      <c r="K301" s="46" t="s">
        <v>1772</v>
      </c>
      <c r="L301" s="46" t="s">
        <v>1504</v>
      </c>
      <c r="M301" s="46" t="s">
        <v>3066</v>
      </c>
      <c r="N301" s="46" t="s">
        <v>1641</v>
      </c>
      <c r="O301" s="44" t="s">
        <v>3067</v>
      </c>
      <c r="P301" s="44" t="s">
        <v>3068</v>
      </c>
      <c r="Q301" s="44" t="s">
        <v>1695</v>
      </c>
      <c r="R301" s="44" t="s">
        <v>1463</v>
      </c>
      <c r="S301" s="43"/>
      <c r="T301" s="51">
        <v>45565</v>
      </c>
    </row>
    <row r="302" spans="1:20">
      <c r="A302" s="47" t="s">
        <v>3069</v>
      </c>
      <c r="B302" s="47"/>
      <c r="C302" s="48" t="s">
        <v>3070</v>
      </c>
      <c r="D302" s="47" t="s">
        <v>1414</v>
      </c>
      <c r="E302" s="47" t="s">
        <v>1460</v>
      </c>
      <c r="F302" s="49">
        <v>41457.382443205999</v>
      </c>
      <c r="G302" s="47" t="s">
        <v>1466</v>
      </c>
      <c r="H302" s="47"/>
      <c r="I302" s="50"/>
      <c r="J302" s="50"/>
      <c r="K302" s="50"/>
      <c r="L302" s="50"/>
      <c r="M302" s="50"/>
      <c r="N302" s="50"/>
      <c r="O302" s="47"/>
      <c r="P302" s="47"/>
      <c r="Q302" s="47" t="s">
        <v>1463</v>
      </c>
      <c r="R302" s="47" t="s">
        <v>1463</v>
      </c>
      <c r="S302" s="43"/>
      <c r="T302" s="47"/>
    </row>
    <row r="303" spans="1:20" ht="26.45">
      <c r="A303" s="44" t="s">
        <v>3071</v>
      </c>
      <c r="B303" s="44" t="s">
        <v>3072</v>
      </c>
      <c r="C303" s="45" t="s">
        <v>3073</v>
      </c>
      <c r="D303" s="44" t="s">
        <v>1419</v>
      </c>
      <c r="E303" s="44" t="s">
        <v>1481</v>
      </c>
      <c r="F303" s="44"/>
      <c r="G303" s="44" t="s">
        <v>1490</v>
      </c>
      <c r="H303" s="44"/>
      <c r="I303" s="46" t="s">
        <v>3073</v>
      </c>
      <c r="J303" s="46" t="s">
        <v>3074</v>
      </c>
      <c r="K303" s="46" t="s">
        <v>1493</v>
      </c>
      <c r="L303" s="46" t="s">
        <v>1504</v>
      </c>
      <c r="M303" s="46" t="s">
        <v>3075</v>
      </c>
      <c r="N303" s="46"/>
      <c r="O303" s="44"/>
      <c r="P303" s="44"/>
      <c r="Q303" s="44" t="s">
        <v>1463</v>
      </c>
      <c r="R303" s="44" t="s">
        <v>1463</v>
      </c>
      <c r="S303" s="43"/>
      <c r="T303" s="44"/>
    </row>
    <row r="304" spans="1:20" ht="26.45">
      <c r="A304" s="47" t="s">
        <v>146</v>
      </c>
      <c r="B304" s="47" t="s">
        <v>3076</v>
      </c>
      <c r="C304" s="48" t="s">
        <v>704</v>
      </c>
      <c r="D304" s="47" t="s">
        <v>1419</v>
      </c>
      <c r="E304" s="47" t="s">
        <v>1481</v>
      </c>
      <c r="F304" s="47"/>
      <c r="G304" s="47" t="s">
        <v>1466</v>
      </c>
      <c r="H304" s="47" t="s">
        <v>3077</v>
      </c>
      <c r="I304" s="50" t="s">
        <v>3078</v>
      </c>
      <c r="J304" s="50" t="s">
        <v>3079</v>
      </c>
      <c r="K304" s="50" t="s">
        <v>1549</v>
      </c>
      <c r="L304" s="50" t="s">
        <v>1504</v>
      </c>
      <c r="M304" s="50" t="s">
        <v>3080</v>
      </c>
      <c r="N304" s="50" t="s">
        <v>1729</v>
      </c>
      <c r="O304" s="47" t="s">
        <v>3081</v>
      </c>
      <c r="P304" s="47" t="s">
        <v>3082</v>
      </c>
      <c r="Q304" s="47" t="s">
        <v>1463</v>
      </c>
      <c r="R304" s="47" t="s">
        <v>1463</v>
      </c>
      <c r="S304" s="43"/>
      <c r="T304" s="49">
        <v>45685</v>
      </c>
    </row>
    <row r="305" spans="1:20" ht="26.45">
      <c r="A305" s="44" t="s">
        <v>147</v>
      </c>
      <c r="B305" s="44" t="s">
        <v>3083</v>
      </c>
      <c r="C305" s="45" t="s">
        <v>705</v>
      </c>
      <c r="D305" s="44" t="s">
        <v>1419</v>
      </c>
      <c r="E305" s="44" t="s">
        <v>1481</v>
      </c>
      <c r="F305" s="44"/>
      <c r="G305" s="44" t="s">
        <v>1466</v>
      </c>
      <c r="H305" s="44" t="s">
        <v>3084</v>
      </c>
      <c r="I305" s="46" t="s">
        <v>705</v>
      </c>
      <c r="J305" s="46" t="s">
        <v>3085</v>
      </c>
      <c r="K305" s="46" t="s">
        <v>1888</v>
      </c>
      <c r="L305" s="46" t="s">
        <v>1474</v>
      </c>
      <c r="M305" s="46" t="s">
        <v>3086</v>
      </c>
      <c r="N305" s="46" t="s">
        <v>1744</v>
      </c>
      <c r="O305" s="44" t="s">
        <v>3087</v>
      </c>
      <c r="P305" s="44" t="s">
        <v>3088</v>
      </c>
      <c r="Q305" s="44" t="s">
        <v>1463</v>
      </c>
      <c r="R305" s="44" t="s">
        <v>1463</v>
      </c>
      <c r="S305" s="43"/>
      <c r="T305" s="51">
        <v>45615</v>
      </c>
    </row>
    <row r="306" spans="1:20">
      <c r="A306" s="47" t="s">
        <v>3089</v>
      </c>
      <c r="B306" s="47" t="s">
        <v>3090</v>
      </c>
      <c r="C306" s="48" t="s">
        <v>3091</v>
      </c>
      <c r="D306" s="47" t="s">
        <v>1420</v>
      </c>
      <c r="E306" s="47" t="s">
        <v>1481</v>
      </c>
      <c r="F306" s="47"/>
      <c r="G306" s="47" t="s">
        <v>1687</v>
      </c>
      <c r="H306" s="47"/>
      <c r="I306" s="50"/>
      <c r="J306" s="50"/>
      <c r="K306" s="50"/>
      <c r="L306" s="50"/>
      <c r="M306" s="50"/>
      <c r="N306" s="50"/>
      <c r="O306" s="47"/>
      <c r="P306" s="47"/>
      <c r="Q306" s="47" t="s">
        <v>1463</v>
      </c>
      <c r="R306" s="47" t="s">
        <v>1463</v>
      </c>
      <c r="S306" s="43"/>
      <c r="T306" s="47"/>
    </row>
    <row r="307" spans="1:20" ht="26.45">
      <c r="A307" s="44" t="s">
        <v>3092</v>
      </c>
      <c r="B307" s="44" t="s">
        <v>3093</v>
      </c>
      <c r="C307" s="45" t="s">
        <v>3094</v>
      </c>
      <c r="D307" s="44" t="s">
        <v>1419</v>
      </c>
      <c r="E307" s="44" t="s">
        <v>1481</v>
      </c>
      <c r="F307" s="44"/>
      <c r="G307" s="44" t="s">
        <v>1490</v>
      </c>
      <c r="H307" s="44"/>
      <c r="I307" s="46" t="s">
        <v>3094</v>
      </c>
      <c r="J307" s="46" t="s">
        <v>3095</v>
      </c>
      <c r="K307" s="46" t="s">
        <v>3096</v>
      </c>
      <c r="L307" s="46" t="s">
        <v>1504</v>
      </c>
      <c r="M307" s="46" t="s">
        <v>3097</v>
      </c>
      <c r="N307" s="46" t="s">
        <v>1476</v>
      </c>
      <c r="O307" s="44"/>
      <c r="P307" s="44"/>
      <c r="Q307" s="44" t="s">
        <v>1463</v>
      </c>
      <c r="R307" s="44" t="s">
        <v>1463</v>
      </c>
      <c r="S307" s="43"/>
      <c r="T307" s="44"/>
    </row>
    <row r="308" spans="1:20" ht="26.45">
      <c r="A308" s="47" t="s">
        <v>706</v>
      </c>
      <c r="B308" s="47" t="s">
        <v>3098</v>
      </c>
      <c r="C308" s="48" t="s">
        <v>707</v>
      </c>
      <c r="D308" s="47" t="s">
        <v>1419</v>
      </c>
      <c r="E308" s="47" t="s">
        <v>1481</v>
      </c>
      <c r="F308" s="47"/>
      <c r="G308" s="47" t="s">
        <v>1466</v>
      </c>
      <c r="H308" s="47" t="s">
        <v>3099</v>
      </c>
      <c r="I308" s="50" t="s">
        <v>707</v>
      </c>
      <c r="J308" s="50" t="s">
        <v>2054</v>
      </c>
      <c r="K308" s="50" t="s">
        <v>1975</v>
      </c>
      <c r="L308" s="50" t="s">
        <v>2117</v>
      </c>
      <c r="M308" s="50" t="s">
        <v>2055</v>
      </c>
      <c r="N308" s="50" t="s">
        <v>1476</v>
      </c>
      <c r="O308" s="47" t="s">
        <v>3100</v>
      </c>
      <c r="P308" s="47" t="s">
        <v>3101</v>
      </c>
      <c r="Q308" s="47" t="s">
        <v>1463</v>
      </c>
      <c r="R308" s="47" t="s">
        <v>1463</v>
      </c>
      <c r="S308" s="43"/>
      <c r="T308" s="49">
        <v>45695</v>
      </c>
    </row>
    <row r="309" spans="1:20">
      <c r="A309" s="44" t="s">
        <v>3102</v>
      </c>
      <c r="B309" s="44" t="s">
        <v>3103</v>
      </c>
      <c r="C309" s="45" t="s">
        <v>3104</v>
      </c>
      <c r="D309" s="44" t="s">
        <v>1419</v>
      </c>
      <c r="E309" s="44" t="s">
        <v>1481</v>
      </c>
      <c r="F309" s="44"/>
      <c r="G309" s="44" t="s">
        <v>1461</v>
      </c>
      <c r="H309" s="44"/>
      <c r="I309" s="46" t="s">
        <v>3104</v>
      </c>
      <c r="J309" s="46"/>
      <c r="K309" s="46"/>
      <c r="L309" s="46"/>
      <c r="M309" s="46"/>
      <c r="N309" s="46"/>
      <c r="O309" s="44"/>
      <c r="P309" s="44"/>
      <c r="Q309" s="44" t="s">
        <v>1463</v>
      </c>
      <c r="R309" s="44" t="s">
        <v>1463</v>
      </c>
      <c r="S309" s="43"/>
      <c r="T309" s="44"/>
    </row>
    <row r="310" spans="1:20" ht="26.45">
      <c r="A310" s="47" t="s">
        <v>148</v>
      </c>
      <c r="B310" s="47" t="s">
        <v>3105</v>
      </c>
      <c r="C310" s="48" t="s">
        <v>708</v>
      </c>
      <c r="D310" s="47" t="s">
        <v>1419</v>
      </c>
      <c r="E310" s="47" t="s">
        <v>1481</v>
      </c>
      <c r="F310" s="47"/>
      <c r="G310" s="47" t="s">
        <v>1687</v>
      </c>
      <c r="H310" s="47" t="s">
        <v>3106</v>
      </c>
      <c r="I310" s="50" t="s">
        <v>3107</v>
      </c>
      <c r="J310" s="50" t="s">
        <v>3108</v>
      </c>
      <c r="K310" s="50" t="s">
        <v>1975</v>
      </c>
      <c r="L310" s="50" t="s">
        <v>1474</v>
      </c>
      <c r="M310" s="50" t="s">
        <v>3109</v>
      </c>
      <c r="N310" s="50" t="s">
        <v>1476</v>
      </c>
      <c r="O310" s="47" t="s">
        <v>3110</v>
      </c>
      <c r="P310" s="47" t="s">
        <v>3111</v>
      </c>
      <c r="Q310" s="47" t="s">
        <v>1463</v>
      </c>
      <c r="R310" s="47" t="s">
        <v>1463</v>
      </c>
      <c r="S310" s="43"/>
      <c r="T310" s="49">
        <v>45524</v>
      </c>
    </row>
    <row r="311" spans="1:20" ht="26.45">
      <c r="A311" s="44" t="s">
        <v>3112</v>
      </c>
      <c r="B311" s="44" t="s">
        <v>3113</v>
      </c>
      <c r="C311" s="45" t="s">
        <v>3114</v>
      </c>
      <c r="D311" s="44" t="s">
        <v>1414</v>
      </c>
      <c r="E311" s="44" t="s">
        <v>1481</v>
      </c>
      <c r="F311" s="44"/>
      <c r="G311" s="44" t="s">
        <v>1466</v>
      </c>
      <c r="H311" s="44"/>
      <c r="I311" s="46"/>
      <c r="J311" s="46" t="s">
        <v>3115</v>
      </c>
      <c r="K311" s="46" t="s">
        <v>1484</v>
      </c>
      <c r="L311" s="46" t="s">
        <v>1504</v>
      </c>
      <c r="M311" s="46" t="s">
        <v>3116</v>
      </c>
      <c r="N311" s="46"/>
      <c r="O311" s="44" t="s">
        <v>3117</v>
      </c>
      <c r="P311" s="44"/>
      <c r="Q311" s="44" t="s">
        <v>1463</v>
      </c>
      <c r="R311" s="44" t="s">
        <v>1463</v>
      </c>
      <c r="S311" s="43"/>
      <c r="T311" s="51">
        <v>44305</v>
      </c>
    </row>
    <row r="312" spans="1:20">
      <c r="A312" s="47" t="s">
        <v>3118</v>
      </c>
      <c r="B312" s="47" t="s">
        <v>3119</v>
      </c>
      <c r="C312" s="48" t="s">
        <v>3120</v>
      </c>
      <c r="D312" s="47" t="s">
        <v>1420</v>
      </c>
      <c r="E312" s="47" t="s">
        <v>1481</v>
      </c>
      <c r="F312" s="47"/>
      <c r="G312" s="47" t="s">
        <v>1466</v>
      </c>
      <c r="H312" s="47"/>
      <c r="I312" s="50"/>
      <c r="J312" s="50"/>
      <c r="K312" s="50"/>
      <c r="L312" s="50"/>
      <c r="M312" s="50"/>
      <c r="N312" s="50"/>
      <c r="O312" s="47"/>
      <c r="P312" s="47"/>
      <c r="Q312" s="47" t="s">
        <v>1463</v>
      </c>
      <c r="R312" s="47" t="s">
        <v>1463</v>
      </c>
      <c r="S312" s="43"/>
      <c r="T312" s="47"/>
    </row>
    <row r="313" spans="1:20">
      <c r="A313" s="44" t="s">
        <v>3121</v>
      </c>
      <c r="B313" s="44" t="s">
        <v>3122</v>
      </c>
      <c r="C313" s="45" t="s">
        <v>3123</v>
      </c>
      <c r="D313" s="44" t="s">
        <v>1430</v>
      </c>
      <c r="E313" s="44" t="s">
        <v>1481</v>
      </c>
      <c r="F313" s="44"/>
      <c r="G313" s="44" t="s">
        <v>1687</v>
      </c>
      <c r="H313" s="44" t="s">
        <v>3124</v>
      </c>
      <c r="I313" s="46" t="s">
        <v>3123</v>
      </c>
      <c r="J313" s="46"/>
      <c r="K313" s="46"/>
      <c r="L313" s="46"/>
      <c r="M313" s="46"/>
      <c r="N313" s="46"/>
      <c r="O313" s="44" t="s">
        <v>3125</v>
      </c>
      <c r="P313" s="44"/>
      <c r="Q313" s="44" t="s">
        <v>1695</v>
      </c>
      <c r="R313" s="44" t="s">
        <v>1463</v>
      </c>
      <c r="S313" s="43"/>
      <c r="T313" s="44"/>
    </row>
    <row r="314" spans="1:20">
      <c r="A314" s="47" t="s">
        <v>3126</v>
      </c>
      <c r="B314" s="47" t="s">
        <v>3127</v>
      </c>
      <c r="C314" s="48" t="s">
        <v>3128</v>
      </c>
      <c r="D314" s="47" t="s">
        <v>1419</v>
      </c>
      <c r="E314" s="47" t="s">
        <v>1481</v>
      </c>
      <c r="F314" s="47"/>
      <c r="G314" s="47" t="s">
        <v>1466</v>
      </c>
      <c r="H314" s="47"/>
      <c r="I314" s="50"/>
      <c r="J314" s="50" t="s">
        <v>3129</v>
      </c>
      <c r="K314" s="50" t="s">
        <v>1523</v>
      </c>
      <c r="L314" s="50" t="s">
        <v>1504</v>
      </c>
      <c r="M314" s="50" t="s">
        <v>3130</v>
      </c>
      <c r="N314" s="50"/>
      <c r="O314" s="47" t="s">
        <v>3131</v>
      </c>
      <c r="P314" s="47"/>
      <c r="Q314" s="47" t="s">
        <v>1463</v>
      </c>
      <c r="R314" s="47" t="s">
        <v>1463</v>
      </c>
      <c r="S314" s="43"/>
      <c r="T314" s="49">
        <v>43200</v>
      </c>
    </row>
    <row r="315" spans="1:20" ht="39.6">
      <c r="A315" s="44" t="s">
        <v>3132</v>
      </c>
      <c r="B315" s="44" t="s">
        <v>3133</v>
      </c>
      <c r="C315" s="45" t="s">
        <v>3134</v>
      </c>
      <c r="D315" s="44" t="s">
        <v>1432</v>
      </c>
      <c r="E315" s="44" t="s">
        <v>1481</v>
      </c>
      <c r="F315" s="44"/>
      <c r="G315" s="44" t="s">
        <v>1511</v>
      </c>
      <c r="H315" s="44" t="s">
        <v>3135</v>
      </c>
      <c r="I315" s="46" t="s">
        <v>3136</v>
      </c>
      <c r="J315" s="46" t="s">
        <v>3137</v>
      </c>
      <c r="K315" s="46" t="s">
        <v>3138</v>
      </c>
      <c r="L315" s="46" t="s">
        <v>3139</v>
      </c>
      <c r="M315" s="46" t="s">
        <v>3140</v>
      </c>
      <c r="N315" s="46" t="s">
        <v>1641</v>
      </c>
      <c r="O315" s="44" t="s">
        <v>3141</v>
      </c>
      <c r="P315" s="44"/>
      <c r="Q315" s="44" t="s">
        <v>1463</v>
      </c>
      <c r="R315" s="44" t="s">
        <v>1463</v>
      </c>
      <c r="S315" s="43"/>
      <c r="T315" s="51">
        <v>44639</v>
      </c>
    </row>
    <row r="316" spans="1:20">
      <c r="A316" s="47" t="s">
        <v>3142</v>
      </c>
      <c r="B316" s="47" t="s">
        <v>3143</v>
      </c>
      <c r="C316" s="48" t="s">
        <v>3144</v>
      </c>
      <c r="D316" s="47" t="s">
        <v>1414</v>
      </c>
      <c r="E316" s="47" t="s">
        <v>1481</v>
      </c>
      <c r="F316" s="47"/>
      <c r="G316" s="47" t="s">
        <v>1461</v>
      </c>
      <c r="H316" s="47"/>
      <c r="I316" s="50" t="s">
        <v>3145</v>
      </c>
      <c r="J316" s="50" t="s">
        <v>3146</v>
      </c>
      <c r="K316" s="50" t="s">
        <v>1484</v>
      </c>
      <c r="L316" s="50" t="s">
        <v>1504</v>
      </c>
      <c r="M316" s="50" t="s">
        <v>3147</v>
      </c>
      <c r="N316" s="50" t="s">
        <v>1531</v>
      </c>
      <c r="O316" s="47" t="s">
        <v>3148</v>
      </c>
      <c r="P316" s="47"/>
      <c r="Q316" s="47" t="s">
        <v>1463</v>
      </c>
      <c r="R316" s="47" t="s">
        <v>1463</v>
      </c>
      <c r="S316" s="43"/>
      <c r="T316" s="49">
        <v>44967</v>
      </c>
    </row>
    <row r="317" spans="1:20" ht="26.45">
      <c r="A317" s="44" t="s">
        <v>3149</v>
      </c>
      <c r="B317" s="44" t="s">
        <v>3150</v>
      </c>
      <c r="C317" s="45" t="s">
        <v>3151</v>
      </c>
      <c r="D317" s="44" t="s">
        <v>1414</v>
      </c>
      <c r="E317" s="44" t="s">
        <v>1481</v>
      </c>
      <c r="F317" s="44"/>
      <c r="G317" s="44" t="s">
        <v>1490</v>
      </c>
      <c r="H317" s="44" t="s">
        <v>3152</v>
      </c>
      <c r="I317" s="46" t="s">
        <v>3153</v>
      </c>
      <c r="J317" s="46" t="s">
        <v>3154</v>
      </c>
      <c r="K317" s="46" t="s">
        <v>2764</v>
      </c>
      <c r="L317" s="46" t="s">
        <v>1504</v>
      </c>
      <c r="M317" s="46" t="s">
        <v>3155</v>
      </c>
      <c r="N317" s="46" t="s">
        <v>1629</v>
      </c>
      <c r="O317" s="44" t="s">
        <v>3156</v>
      </c>
      <c r="P317" s="44"/>
      <c r="Q317" s="44" t="s">
        <v>1463</v>
      </c>
      <c r="R317" s="44" t="s">
        <v>1463</v>
      </c>
      <c r="S317" s="43"/>
      <c r="T317" s="51">
        <v>44834</v>
      </c>
    </row>
    <row r="318" spans="1:20">
      <c r="A318" s="47" t="s">
        <v>3157</v>
      </c>
      <c r="B318" s="47" t="s">
        <v>3158</v>
      </c>
      <c r="C318" s="48" t="s">
        <v>3159</v>
      </c>
      <c r="D318" s="47" t="s">
        <v>1414</v>
      </c>
      <c r="E318" s="47" t="s">
        <v>1460</v>
      </c>
      <c r="F318" s="49">
        <v>42459.742026076397</v>
      </c>
      <c r="G318" s="47" t="s">
        <v>1466</v>
      </c>
      <c r="H318" s="47" t="s">
        <v>3160</v>
      </c>
      <c r="I318" s="50" t="s">
        <v>3159</v>
      </c>
      <c r="J318" s="50" t="s">
        <v>3161</v>
      </c>
      <c r="K318" s="50" t="s">
        <v>2764</v>
      </c>
      <c r="L318" s="50" t="s">
        <v>1504</v>
      </c>
      <c r="M318" s="50" t="s">
        <v>3162</v>
      </c>
      <c r="N318" s="50" t="s">
        <v>1629</v>
      </c>
      <c r="O318" s="47" t="s">
        <v>3163</v>
      </c>
      <c r="P318" s="47"/>
      <c r="Q318" s="47" t="s">
        <v>1463</v>
      </c>
      <c r="R318" s="47" t="s">
        <v>1463</v>
      </c>
      <c r="S318" s="43"/>
      <c r="T318" s="49">
        <v>42487</v>
      </c>
    </row>
    <row r="319" spans="1:20" ht="26.45">
      <c r="A319" s="44" t="s">
        <v>3164</v>
      </c>
      <c r="B319" s="44" t="s">
        <v>3165</v>
      </c>
      <c r="C319" s="45" t="s">
        <v>3166</v>
      </c>
      <c r="D319" s="44" t="s">
        <v>1419</v>
      </c>
      <c r="E319" s="44" t="s">
        <v>1481</v>
      </c>
      <c r="F319" s="44"/>
      <c r="G319" s="44" t="s">
        <v>1490</v>
      </c>
      <c r="H319" s="44" t="s">
        <v>3167</v>
      </c>
      <c r="I319" s="46" t="s">
        <v>3166</v>
      </c>
      <c r="J319" s="46" t="s">
        <v>3168</v>
      </c>
      <c r="K319" s="46" t="s">
        <v>3169</v>
      </c>
      <c r="L319" s="46" t="s">
        <v>3170</v>
      </c>
      <c r="M319" s="46" t="s">
        <v>3171</v>
      </c>
      <c r="N319" s="46"/>
      <c r="O319" s="44" t="s">
        <v>3172</v>
      </c>
      <c r="P319" s="44"/>
      <c r="Q319" s="44" t="s">
        <v>1463</v>
      </c>
      <c r="R319" s="44" t="s">
        <v>1463</v>
      </c>
      <c r="S319" s="43"/>
      <c r="T319" s="51">
        <v>44616</v>
      </c>
    </row>
    <row r="320" spans="1:20" ht="26.45">
      <c r="A320" s="47" t="s">
        <v>149</v>
      </c>
      <c r="B320" s="47" t="s">
        <v>3173</v>
      </c>
      <c r="C320" s="48" t="s">
        <v>709</v>
      </c>
      <c r="D320" s="47" t="s">
        <v>1424</v>
      </c>
      <c r="E320" s="47" t="s">
        <v>1481</v>
      </c>
      <c r="F320" s="47"/>
      <c r="G320" s="47" t="s">
        <v>1687</v>
      </c>
      <c r="H320" s="47" t="s">
        <v>3174</v>
      </c>
      <c r="I320" s="50" t="s">
        <v>3175</v>
      </c>
      <c r="J320" s="50" t="s">
        <v>3176</v>
      </c>
      <c r="K320" s="50" t="s">
        <v>3177</v>
      </c>
      <c r="L320" s="50" t="s">
        <v>1474</v>
      </c>
      <c r="M320" s="50" t="s">
        <v>3178</v>
      </c>
      <c r="N320" s="50" t="s">
        <v>1641</v>
      </c>
      <c r="O320" s="47" t="s">
        <v>3179</v>
      </c>
      <c r="P320" s="47" t="s">
        <v>3180</v>
      </c>
      <c r="Q320" s="47" t="s">
        <v>1463</v>
      </c>
      <c r="R320" s="47" t="s">
        <v>1463</v>
      </c>
      <c r="S320" s="43"/>
      <c r="T320" s="49">
        <v>45544</v>
      </c>
    </row>
    <row r="321" spans="1:20" ht="26.45">
      <c r="A321" s="44" t="s">
        <v>150</v>
      </c>
      <c r="B321" s="44" t="s">
        <v>3181</v>
      </c>
      <c r="C321" s="45" t="s">
        <v>710</v>
      </c>
      <c r="D321" s="44" t="s">
        <v>1420</v>
      </c>
      <c r="E321" s="44" t="s">
        <v>1481</v>
      </c>
      <c r="F321" s="44"/>
      <c r="G321" s="44" t="s">
        <v>1687</v>
      </c>
      <c r="H321" s="44" t="s">
        <v>3182</v>
      </c>
      <c r="I321" s="46" t="s">
        <v>3183</v>
      </c>
      <c r="J321" s="46" t="s">
        <v>3184</v>
      </c>
      <c r="K321" s="46" t="s">
        <v>3185</v>
      </c>
      <c r="L321" s="46" t="s">
        <v>1504</v>
      </c>
      <c r="M321" s="46" t="s">
        <v>3186</v>
      </c>
      <c r="N321" s="46" t="s">
        <v>1476</v>
      </c>
      <c r="O321" s="44" t="s">
        <v>3187</v>
      </c>
      <c r="P321" s="44" t="s">
        <v>3188</v>
      </c>
      <c r="Q321" s="44" t="s">
        <v>1695</v>
      </c>
      <c r="R321" s="44" t="s">
        <v>1463</v>
      </c>
      <c r="S321" s="43"/>
      <c r="T321" s="51">
        <v>45397</v>
      </c>
    </row>
    <row r="322" spans="1:20">
      <c r="A322" s="47" t="s">
        <v>3189</v>
      </c>
      <c r="B322" s="47"/>
      <c r="C322" s="48" t="s">
        <v>3190</v>
      </c>
      <c r="D322" s="47" t="s">
        <v>1416</v>
      </c>
      <c r="E322" s="47" t="s">
        <v>1460</v>
      </c>
      <c r="F322" s="49">
        <v>41584.946232060203</v>
      </c>
      <c r="G322" s="47" t="s">
        <v>1687</v>
      </c>
      <c r="H322" s="47"/>
      <c r="I322" s="50"/>
      <c r="J322" s="50"/>
      <c r="K322" s="50"/>
      <c r="L322" s="50"/>
      <c r="M322" s="50"/>
      <c r="N322" s="50"/>
      <c r="O322" s="47"/>
      <c r="P322" s="47"/>
      <c r="Q322" s="47" t="s">
        <v>1695</v>
      </c>
      <c r="R322" s="47" t="s">
        <v>1463</v>
      </c>
      <c r="S322" s="43"/>
      <c r="T322" s="47"/>
    </row>
    <row r="323" spans="1:20" ht="26.45">
      <c r="A323" s="44" t="s">
        <v>151</v>
      </c>
      <c r="B323" s="44" t="s">
        <v>3191</v>
      </c>
      <c r="C323" s="45" t="s">
        <v>711</v>
      </c>
      <c r="D323" s="44" t="s">
        <v>1419</v>
      </c>
      <c r="E323" s="44" t="s">
        <v>1481</v>
      </c>
      <c r="F323" s="44"/>
      <c r="G323" s="44" t="s">
        <v>1466</v>
      </c>
      <c r="H323" s="44" t="s">
        <v>3192</v>
      </c>
      <c r="I323" s="46" t="s">
        <v>3193</v>
      </c>
      <c r="J323" s="46" t="s">
        <v>3194</v>
      </c>
      <c r="K323" s="46" t="s">
        <v>1549</v>
      </c>
      <c r="L323" s="46" t="s">
        <v>1504</v>
      </c>
      <c r="M323" s="46" t="s">
        <v>3195</v>
      </c>
      <c r="N323" s="46" t="s">
        <v>1729</v>
      </c>
      <c r="O323" s="44" t="s">
        <v>3196</v>
      </c>
      <c r="P323" s="44" t="s">
        <v>3197</v>
      </c>
      <c r="Q323" s="44" t="s">
        <v>1463</v>
      </c>
      <c r="R323" s="44" t="s">
        <v>1463</v>
      </c>
      <c r="S323" s="43"/>
      <c r="T323" s="51">
        <v>45611</v>
      </c>
    </row>
    <row r="324" spans="1:20" ht="26.45">
      <c r="A324" s="47" t="s">
        <v>152</v>
      </c>
      <c r="B324" s="47" t="s">
        <v>3198</v>
      </c>
      <c r="C324" s="48" t="s">
        <v>712</v>
      </c>
      <c r="D324" s="47" t="s">
        <v>1419</v>
      </c>
      <c r="E324" s="47" t="s">
        <v>1481</v>
      </c>
      <c r="F324" s="47"/>
      <c r="G324" s="47" t="s">
        <v>1466</v>
      </c>
      <c r="H324" s="47" t="s">
        <v>3199</v>
      </c>
      <c r="I324" s="50" t="s">
        <v>712</v>
      </c>
      <c r="J324" s="50" t="s">
        <v>3200</v>
      </c>
      <c r="K324" s="50" t="s">
        <v>1493</v>
      </c>
      <c r="L324" s="50" t="s">
        <v>1504</v>
      </c>
      <c r="M324" s="50" t="s">
        <v>3201</v>
      </c>
      <c r="N324" s="50" t="s">
        <v>1629</v>
      </c>
      <c r="O324" s="47" t="s">
        <v>3202</v>
      </c>
      <c r="P324" s="47" t="s">
        <v>3203</v>
      </c>
      <c r="Q324" s="47" t="s">
        <v>1463</v>
      </c>
      <c r="R324" s="47" t="s">
        <v>1463</v>
      </c>
      <c r="S324" s="43"/>
      <c r="T324" s="49">
        <v>45638</v>
      </c>
    </row>
    <row r="325" spans="1:20">
      <c r="A325" s="44" t="s">
        <v>3204</v>
      </c>
      <c r="B325" s="44"/>
      <c r="C325" s="45" t="s">
        <v>3205</v>
      </c>
      <c r="D325" s="44" t="s">
        <v>1419</v>
      </c>
      <c r="E325" s="44" t="s">
        <v>1460</v>
      </c>
      <c r="F325" s="51">
        <v>41457.382441666698</v>
      </c>
      <c r="G325" s="44" t="s">
        <v>1687</v>
      </c>
      <c r="H325" s="44"/>
      <c r="I325" s="46"/>
      <c r="J325" s="46"/>
      <c r="K325" s="46"/>
      <c r="L325" s="46"/>
      <c r="M325" s="46"/>
      <c r="N325" s="46"/>
      <c r="O325" s="44"/>
      <c r="P325" s="44"/>
      <c r="Q325" s="44" t="s">
        <v>1463</v>
      </c>
      <c r="R325" s="44" t="s">
        <v>1463</v>
      </c>
      <c r="S325" s="43"/>
      <c r="T325" s="44"/>
    </row>
    <row r="326" spans="1:20" ht="39.6">
      <c r="A326" s="47" t="s">
        <v>3206</v>
      </c>
      <c r="B326" s="47" t="s">
        <v>3207</v>
      </c>
      <c r="C326" s="48" t="s">
        <v>3208</v>
      </c>
      <c r="D326" s="47" t="s">
        <v>1432</v>
      </c>
      <c r="E326" s="47" t="s">
        <v>1481</v>
      </c>
      <c r="F326" s="47"/>
      <c r="G326" s="47" t="s">
        <v>1511</v>
      </c>
      <c r="H326" s="47" t="s">
        <v>3209</v>
      </c>
      <c r="I326" s="50" t="s">
        <v>3210</v>
      </c>
      <c r="J326" s="50" t="s">
        <v>3211</v>
      </c>
      <c r="K326" s="50" t="s">
        <v>1948</v>
      </c>
      <c r="L326" s="50" t="s">
        <v>1504</v>
      </c>
      <c r="M326" s="50" t="s">
        <v>3212</v>
      </c>
      <c r="N326" s="50" t="s">
        <v>1641</v>
      </c>
      <c r="O326" s="47" t="s">
        <v>3213</v>
      </c>
      <c r="P326" s="47"/>
      <c r="Q326" s="47" t="s">
        <v>1463</v>
      </c>
      <c r="R326" s="47" t="s">
        <v>1463</v>
      </c>
      <c r="S326" s="43"/>
      <c r="T326" s="49">
        <v>44473</v>
      </c>
    </row>
    <row r="327" spans="1:20" ht="26.45">
      <c r="A327" s="44" t="s">
        <v>713</v>
      </c>
      <c r="B327" s="44" t="s">
        <v>3214</v>
      </c>
      <c r="C327" s="45" t="s">
        <v>714</v>
      </c>
      <c r="D327" s="44" t="s">
        <v>1419</v>
      </c>
      <c r="E327" s="44" t="s">
        <v>1481</v>
      </c>
      <c r="F327" s="44"/>
      <c r="G327" s="44" t="s">
        <v>1466</v>
      </c>
      <c r="H327" s="44" t="s">
        <v>3215</v>
      </c>
      <c r="I327" s="46" t="s">
        <v>714</v>
      </c>
      <c r="J327" s="46" t="s">
        <v>2060</v>
      </c>
      <c r="K327" s="46" t="s">
        <v>2061</v>
      </c>
      <c r="L327" s="46" t="s">
        <v>1474</v>
      </c>
      <c r="M327" s="46" t="s">
        <v>2062</v>
      </c>
      <c r="N327" s="46" t="s">
        <v>1641</v>
      </c>
      <c r="O327" s="44" t="s">
        <v>3216</v>
      </c>
      <c r="P327" s="44" t="s">
        <v>3217</v>
      </c>
      <c r="Q327" s="44" t="s">
        <v>1463</v>
      </c>
      <c r="R327" s="44" t="s">
        <v>1463</v>
      </c>
      <c r="S327" s="43"/>
      <c r="T327" s="51">
        <v>45695</v>
      </c>
    </row>
    <row r="328" spans="1:20" ht="26.45">
      <c r="A328" s="47" t="s">
        <v>715</v>
      </c>
      <c r="B328" s="47" t="s">
        <v>3218</v>
      </c>
      <c r="C328" s="48" t="s">
        <v>716</v>
      </c>
      <c r="D328" s="47" t="s">
        <v>1414</v>
      </c>
      <c r="E328" s="47" t="s">
        <v>1481</v>
      </c>
      <c r="F328" s="47"/>
      <c r="G328" s="47" t="s">
        <v>1466</v>
      </c>
      <c r="H328" s="47" t="s">
        <v>3219</v>
      </c>
      <c r="I328" s="50" t="s">
        <v>716</v>
      </c>
      <c r="J328" s="50" t="s">
        <v>3220</v>
      </c>
      <c r="K328" s="50" t="s">
        <v>1484</v>
      </c>
      <c r="L328" s="50" t="s">
        <v>1474</v>
      </c>
      <c r="M328" s="50" t="s">
        <v>3221</v>
      </c>
      <c r="N328" s="50" t="s">
        <v>1495</v>
      </c>
      <c r="O328" s="47" t="s">
        <v>3222</v>
      </c>
      <c r="P328" s="47" t="s">
        <v>3223</v>
      </c>
      <c r="Q328" s="47" t="s">
        <v>1463</v>
      </c>
      <c r="R328" s="47" t="s">
        <v>1463</v>
      </c>
      <c r="S328" s="43"/>
      <c r="T328" s="49">
        <v>45408</v>
      </c>
    </row>
    <row r="329" spans="1:20">
      <c r="A329" s="44" t="s">
        <v>3224</v>
      </c>
      <c r="B329" s="44" t="s">
        <v>3225</v>
      </c>
      <c r="C329" s="45" t="s">
        <v>3226</v>
      </c>
      <c r="D329" s="44" t="s">
        <v>1414</v>
      </c>
      <c r="E329" s="44" t="s">
        <v>1481</v>
      </c>
      <c r="F329" s="44"/>
      <c r="G329" s="44" t="s">
        <v>1466</v>
      </c>
      <c r="H329" s="44" t="s">
        <v>3227</v>
      </c>
      <c r="I329" s="46" t="s">
        <v>3226</v>
      </c>
      <c r="J329" s="46" t="s">
        <v>3228</v>
      </c>
      <c r="K329" s="46" t="s">
        <v>3229</v>
      </c>
      <c r="L329" s="46" t="s">
        <v>1504</v>
      </c>
      <c r="M329" s="46" t="s">
        <v>3230</v>
      </c>
      <c r="N329" s="46" t="s">
        <v>1531</v>
      </c>
      <c r="O329" s="44" t="s">
        <v>3231</v>
      </c>
      <c r="P329" s="44"/>
      <c r="Q329" s="44" t="s">
        <v>1463</v>
      </c>
      <c r="R329" s="44" t="s">
        <v>1463</v>
      </c>
      <c r="S329" s="43"/>
      <c r="T329" s="51">
        <v>42738</v>
      </c>
    </row>
    <row r="330" spans="1:20" ht="26.45">
      <c r="A330" s="47" t="s">
        <v>153</v>
      </c>
      <c r="B330" s="47" t="s">
        <v>3232</v>
      </c>
      <c r="C330" s="48" t="s">
        <v>717</v>
      </c>
      <c r="D330" s="47" t="s">
        <v>1420</v>
      </c>
      <c r="E330" s="47" t="s">
        <v>1481</v>
      </c>
      <c r="F330" s="47"/>
      <c r="G330" s="47" t="s">
        <v>1687</v>
      </c>
      <c r="H330" s="47" t="s">
        <v>3233</v>
      </c>
      <c r="I330" s="50" t="s">
        <v>3234</v>
      </c>
      <c r="J330" s="50" t="s">
        <v>3235</v>
      </c>
      <c r="K330" s="50" t="s">
        <v>3236</v>
      </c>
      <c r="L330" s="50" t="s">
        <v>1504</v>
      </c>
      <c r="M330" s="50" t="s">
        <v>3237</v>
      </c>
      <c r="N330" s="50" t="s">
        <v>1531</v>
      </c>
      <c r="O330" s="47" t="s">
        <v>3238</v>
      </c>
      <c r="P330" s="47" t="s">
        <v>3239</v>
      </c>
      <c r="Q330" s="47" t="s">
        <v>1695</v>
      </c>
      <c r="R330" s="47" t="s">
        <v>1463</v>
      </c>
      <c r="S330" s="43"/>
      <c r="T330" s="49">
        <v>45691</v>
      </c>
    </row>
    <row r="331" spans="1:20">
      <c r="A331" s="44" t="s">
        <v>3240</v>
      </c>
      <c r="B331" s="44"/>
      <c r="C331" s="45" t="s">
        <v>3241</v>
      </c>
      <c r="D331" s="44" t="s">
        <v>1419</v>
      </c>
      <c r="E331" s="44" t="s">
        <v>1460</v>
      </c>
      <c r="F331" s="51">
        <v>42452.6865652778</v>
      </c>
      <c r="G331" s="44" t="s">
        <v>1466</v>
      </c>
      <c r="H331" s="44"/>
      <c r="I331" s="46"/>
      <c r="J331" s="46"/>
      <c r="K331" s="46"/>
      <c r="L331" s="46"/>
      <c r="M331" s="46"/>
      <c r="N331" s="46"/>
      <c r="O331" s="44"/>
      <c r="P331" s="44"/>
      <c r="Q331" s="44" t="s">
        <v>1463</v>
      </c>
      <c r="R331" s="44" t="s">
        <v>1463</v>
      </c>
      <c r="S331" s="43"/>
      <c r="T331" s="44"/>
    </row>
    <row r="332" spans="1:20">
      <c r="A332" s="47" t="s">
        <v>3242</v>
      </c>
      <c r="B332" s="47"/>
      <c r="C332" s="48" t="s">
        <v>3243</v>
      </c>
      <c r="D332" s="47" t="s">
        <v>1420</v>
      </c>
      <c r="E332" s="47" t="s">
        <v>1460</v>
      </c>
      <c r="F332" s="49">
        <v>41474.645835844902</v>
      </c>
      <c r="G332" s="47" t="s">
        <v>1466</v>
      </c>
      <c r="H332" s="47"/>
      <c r="I332" s="50"/>
      <c r="J332" s="50"/>
      <c r="K332" s="50"/>
      <c r="L332" s="50"/>
      <c r="M332" s="50"/>
      <c r="N332" s="50"/>
      <c r="O332" s="47"/>
      <c r="P332" s="47"/>
      <c r="Q332" s="47" t="s">
        <v>1463</v>
      </c>
      <c r="R332" s="47" t="s">
        <v>1463</v>
      </c>
      <c r="S332" s="43"/>
      <c r="T332" s="47"/>
    </row>
    <row r="333" spans="1:20">
      <c r="A333" s="44" t="s">
        <v>3244</v>
      </c>
      <c r="B333" s="44" t="s">
        <v>3245</v>
      </c>
      <c r="C333" s="45" t="s">
        <v>3246</v>
      </c>
      <c r="D333" s="44" t="s">
        <v>1435</v>
      </c>
      <c r="E333" s="44" t="s">
        <v>1481</v>
      </c>
      <c r="F333" s="51">
        <v>42543.761345949097</v>
      </c>
      <c r="G333" s="44" t="s">
        <v>1687</v>
      </c>
      <c r="H333" s="44" t="s">
        <v>3247</v>
      </c>
      <c r="I333" s="46" t="s">
        <v>3246</v>
      </c>
      <c r="J333" s="46"/>
      <c r="K333" s="46"/>
      <c r="L333" s="46"/>
      <c r="M333" s="46"/>
      <c r="N333" s="46"/>
      <c r="O333" s="44" t="s">
        <v>3248</v>
      </c>
      <c r="P333" s="44"/>
      <c r="Q333" s="44" t="s">
        <v>1695</v>
      </c>
      <c r="R333" s="44" t="s">
        <v>1463</v>
      </c>
      <c r="S333" s="43"/>
      <c r="T333" s="44"/>
    </row>
    <row r="334" spans="1:20" ht="26.45">
      <c r="A334" s="47" t="s">
        <v>3249</v>
      </c>
      <c r="B334" s="47" t="s">
        <v>3250</v>
      </c>
      <c r="C334" s="48" t="s">
        <v>3251</v>
      </c>
      <c r="D334" s="47" t="s">
        <v>1410</v>
      </c>
      <c r="E334" s="47" t="s">
        <v>1481</v>
      </c>
      <c r="F334" s="47"/>
      <c r="G334" s="47" t="s">
        <v>1687</v>
      </c>
      <c r="H334" s="47" t="s">
        <v>3252</v>
      </c>
      <c r="I334" s="50" t="s">
        <v>3251</v>
      </c>
      <c r="J334" s="50" t="s">
        <v>3253</v>
      </c>
      <c r="K334" s="50" t="s">
        <v>3254</v>
      </c>
      <c r="L334" s="50" t="s">
        <v>1504</v>
      </c>
      <c r="M334" s="50" t="s">
        <v>3255</v>
      </c>
      <c r="N334" s="50" t="s">
        <v>1531</v>
      </c>
      <c r="O334" s="47" t="s">
        <v>3256</v>
      </c>
      <c r="P334" s="47" t="s">
        <v>3257</v>
      </c>
      <c r="Q334" s="47" t="s">
        <v>1695</v>
      </c>
      <c r="R334" s="47" t="s">
        <v>1463</v>
      </c>
      <c r="S334" s="43"/>
      <c r="T334" s="49">
        <v>45407</v>
      </c>
    </row>
    <row r="335" spans="1:20" ht="26.45">
      <c r="A335" s="44" t="s">
        <v>154</v>
      </c>
      <c r="B335" s="44" t="s">
        <v>3258</v>
      </c>
      <c r="C335" s="45" t="s">
        <v>718</v>
      </c>
      <c r="D335" s="44" t="s">
        <v>1428</v>
      </c>
      <c r="E335" s="44" t="s">
        <v>1481</v>
      </c>
      <c r="F335" s="44"/>
      <c r="G335" s="44" t="s">
        <v>1466</v>
      </c>
      <c r="H335" s="44" t="s">
        <v>3259</v>
      </c>
      <c r="I335" s="46" t="s">
        <v>3260</v>
      </c>
      <c r="J335" s="46" t="s">
        <v>3261</v>
      </c>
      <c r="K335" s="46" t="s">
        <v>3050</v>
      </c>
      <c r="L335" s="46" t="s">
        <v>1504</v>
      </c>
      <c r="M335" s="46" t="s">
        <v>3262</v>
      </c>
      <c r="N335" s="46" t="s">
        <v>1531</v>
      </c>
      <c r="O335" s="44" t="s">
        <v>3263</v>
      </c>
      <c r="P335" s="44" t="s">
        <v>3264</v>
      </c>
      <c r="Q335" s="44" t="s">
        <v>1463</v>
      </c>
      <c r="R335" s="44" t="s">
        <v>1463</v>
      </c>
      <c r="S335" s="43"/>
      <c r="T335" s="51">
        <v>45638</v>
      </c>
    </row>
    <row r="336" spans="1:20" ht="26.45">
      <c r="A336" s="47" t="s">
        <v>719</v>
      </c>
      <c r="B336" s="47" t="s">
        <v>3265</v>
      </c>
      <c r="C336" s="48" t="s">
        <v>720</v>
      </c>
      <c r="D336" s="47" t="s">
        <v>1428</v>
      </c>
      <c r="E336" s="47" t="s">
        <v>1481</v>
      </c>
      <c r="F336" s="47"/>
      <c r="G336" s="47" t="s">
        <v>1687</v>
      </c>
      <c r="H336" s="47" t="s">
        <v>3266</v>
      </c>
      <c r="I336" s="50" t="s">
        <v>3267</v>
      </c>
      <c r="J336" s="50" t="s">
        <v>3268</v>
      </c>
      <c r="K336" s="50" t="s">
        <v>3050</v>
      </c>
      <c r="L336" s="50" t="s">
        <v>1504</v>
      </c>
      <c r="M336" s="50" t="s">
        <v>3269</v>
      </c>
      <c r="N336" s="50" t="s">
        <v>1531</v>
      </c>
      <c r="O336" s="47" t="s">
        <v>3270</v>
      </c>
      <c r="P336" s="47" t="s">
        <v>3271</v>
      </c>
      <c r="Q336" s="47" t="s">
        <v>1463</v>
      </c>
      <c r="R336" s="47" t="s">
        <v>1463</v>
      </c>
      <c r="S336" s="43"/>
      <c r="T336" s="49">
        <v>45321</v>
      </c>
    </row>
    <row r="337" spans="1:20">
      <c r="A337" s="44" t="s">
        <v>3272</v>
      </c>
      <c r="B337" s="44" t="s">
        <v>3273</v>
      </c>
      <c r="C337" s="45" t="s">
        <v>3274</v>
      </c>
      <c r="D337" s="44" t="s">
        <v>1428</v>
      </c>
      <c r="E337" s="44" t="s">
        <v>1481</v>
      </c>
      <c r="F337" s="44"/>
      <c r="G337" s="44" t="s">
        <v>1663</v>
      </c>
      <c r="H337" s="44" t="s">
        <v>3275</v>
      </c>
      <c r="I337" s="46" t="s">
        <v>3276</v>
      </c>
      <c r="J337" s="46" t="s">
        <v>3277</v>
      </c>
      <c r="K337" s="46" t="s">
        <v>2632</v>
      </c>
      <c r="L337" s="46" t="s">
        <v>1504</v>
      </c>
      <c r="M337" s="46" t="s">
        <v>3278</v>
      </c>
      <c r="N337" s="46" t="s">
        <v>1531</v>
      </c>
      <c r="O337" s="44" t="s">
        <v>3279</v>
      </c>
      <c r="P337" s="44"/>
      <c r="Q337" s="44" t="s">
        <v>1463</v>
      </c>
      <c r="R337" s="44" t="s">
        <v>1463</v>
      </c>
      <c r="S337" s="43"/>
      <c r="T337" s="51">
        <v>44692</v>
      </c>
    </row>
    <row r="338" spans="1:20" ht="26.45">
      <c r="A338" s="47" t="s">
        <v>3280</v>
      </c>
      <c r="B338" s="47" t="s">
        <v>3281</v>
      </c>
      <c r="C338" s="48" t="s">
        <v>3282</v>
      </c>
      <c r="D338" s="47" t="s">
        <v>1428</v>
      </c>
      <c r="E338" s="47" t="s">
        <v>1481</v>
      </c>
      <c r="F338" s="47"/>
      <c r="G338" s="47" t="s">
        <v>1663</v>
      </c>
      <c r="H338" s="47" t="s">
        <v>3283</v>
      </c>
      <c r="I338" s="50" t="s">
        <v>3284</v>
      </c>
      <c r="J338" s="50" t="s">
        <v>3285</v>
      </c>
      <c r="K338" s="50" t="s">
        <v>2632</v>
      </c>
      <c r="L338" s="50" t="s">
        <v>1504</v>
      </c>
      <c r="M338" s="50" t="s">
        <v>3286</v>
      </c>
      <c r="N338" s="50" t="s">
        <v>1495</v>
      </c>
      <c r="O338" s="47" t="s">
        <v>3279</v>
      </c>
      <c r="P338" s="47" t="s">
        <v>3287</v>
      </c>
      <c r="Q338" s="47" t="s">
        <v>1695</v>
      </c>
      <c r="R338" s="47" t="s">
        <v>1463</v>
      </c>
      <c r="S338" s="43"/>
      <c r="T338" s="49">
        <v>45322</v>
      </c>
    </row>
    <row r="339" spans="1:20" ht="26.45">
      <c r="A339" s="44" t="s">
        <v>721</v>
      </c>
      <c r="B339" s="44" t="s">
        <v>3288</v>
      </c>
      <c r="C339" s="45" t="s">
        <v>722</v>
      </c>
      <c r="D339" s="44" t="s">
        <v>1428</v>
      </c>
      <c r="E339" s="44" t="s">
        <v>1481</v>
      </c>
      <c r="F339" s="44"/>
      <c r="G339" s="44" t="s">
        <v>1687</v>
      </c>
      <c r="H339" s="44" t="s">
        <v>3289</v>
      </c>
      <c r="I339" s="46" t="s">
        <v>3290</v>
      </c>
      <c r="J339" s="46" t="s">
        <v>3291</v>
      </c>
      <c r="K339" s="46" t="s">
        <v>2632</v>
      </c>
      <c r="L339" s="46" t="s">
        <v>1504</v>
      </c>
      <c r="M339" s="46" t="s">
        <v>3292</v>
      </c>
      <c r="N339" s="46" t="s">
        <v>1495</v>
      </c>
      <c r="O339" s="44" t="s">
        <v>3279</v>
      </c>
      <c r="P339" s="44" t="s">
        <v>3287</v>
      </c>
      <c r="Q339" s="44" t="s">
        <v>1463</v>
      </c>
      <c r="R339" s="44" t="s">
        <v>1463</v>
      </c>
      <c r="S339" s="43"/>
      <c r="T339" s="51">
        <v>45332</v>
      </c>
    </row>
    <row r="340" spans="1:20" ht="26.45">
      <c r="A340" s="47" t="s">
        <v>155</v>
      </c>
      <c r="B340" s="47" t="s">
        <v>3293</v>
      </c>
      <c r="C340" s="48" t="s">
        <v>723</v>
      </c>
      <c r="D340" s="47" t="s">
        <v>1428</v>
      </c>
      <c r="E340" s="47" t="s">
        <v>1481</v>
      </c>
      <c r="F340" s="47"/>
      <c r="G340" s="47" t="s">
        <v>1687</v>
      </c>
      <c r="H340" s="47" t="s">
        <v>3294</v>
      </c>
      <c r="I340" s="50" t="s">
        <v>3295</v>
      </c>
      <c r="J340" s="50" t="s">
        <v>3296</v>
      </c>
      <c r="K340" s="50" t="s">
        <v>1428</v>
      </c>
      <c r="L340" s="50" t="s">
        <v>1504</v>
      </c>
      <c r="M340" s="50" t="s">
        <v>3297</v>
      </c>
      <c r="N340" s="50" t="s">
        <v>1525</v>
      </c>
      <c r="O340" s="47" t="s">
        <v>3298</v>
      </c>
      <c r="P340" s="47" t="s">
        <v>3299</v>
      </c>
      <c r="Q340" s="47" t="s">
        <v>1695</v>
      </c>
      <c r="R340" s="47" t="s">
        <v>1463</v>
      </c>
      <c r="S340" s="43"/>
      <c r="T340" s="49">
        <v>45693</v>
      </c>
    </row>
    <row r="341" spans="1:20">
      <c r="A341" s="44" t="s">
        <v>3300</v>
      </c>
      <c r="B341" s="44" t="s">
        <v>3301</v>
      </c>
      <c r="C341" s="45" t="s">
        <v>3302</v>
      </c>
      <c r="D341" s="44" t="s">
        <v>1419</v>
      </c>
      <c r="E341" s="44" t="s">
        <v>1481</v>
      </c>
      <c r="F341" s="44"/>
      <c r="G341" s="44" t="s">
        <v>1618</v>
      </c>
      <c r="H341" s="44"/>
      <c r="I341" s="46"/>
      <c r="J341" s="46"/>
      <c r="K341" s="46"/>
      <c r="L341" s="46"/>
      <c r="M341" s="46"/>
      <c r="N341" s="46"/>
      <c r="O341" s="44"/>
      <c r="P341" s="44"/>
      <c r="Q341" s="44" t="s">
        <v>1463</v>
      </c>
      <c r="R341" s="44" t="s">
        <v>1463</v>
      </c>
      <c r="S341" s="43"/>
      <c r="T341" s="44"/>
    </row>
    <row r="342" spans="1:20" ht="26.45">
      <c r="A342" s="47" t="s">
        <v>3303</v>
      </c>
      <c r="B342" s="47" t="s">
        <v>3304</v>
      </c>
      <c r="C342" s="48" t="s">
        <v>3305</v>
      </c>
      <c r="D342" s="47" t="s">
        <v>1428</v>
      </c>
      <c r="E342" s="47" t="s">
        <v>1481</v>
      </c>
      <c r="F342" s="47"/>
      <c r="G342" s="47" t="s">
        <v>1687</v>
      </c>
      <c r="H342" s="47" t="s">
        <v>3306</v>
      </c>
      <c r="I342" s="50" t="s">
        <v>3305</v>
      </c>
      <c r="J342" s="50" t="s">
        <v>3307</v>
      </c>
      <c r="K342" s="50" t="s">
        <v>2686</v>
      </c>
      <c r="L342" s="50" t="s">
        <v>1504</v>
      </c>
      <c r="M342" s="50" t="s">
        <v>3308</v>
      </c>
      <c r="N342" s="50" t="s">
        <v>1525</v>
      </c>
      <c r="O342" s="47" t="s">
        <v>3309</v>
      </c>
      <c r="P342" s="47" t="s">
        <v>3310</v>
      </c>
      <c r="Q342" s="47" t="s">
        <v>1695</v>
      </c>
      <c r="R342" s="47" t="s">
        <v>1463</v>
      </c>
      <c r="S342" s="43"/>
      <c r="T342" s="49">
        <v>45636</v>
      </c>
    </row>
    <row r="343" spans="1:20" ht="26.45">
      <c r="A343" s="44" t="s">
        <v>3311</v>
      </c>
      <c r="B343" s="44" t="s">
        <v>3312</v>
      </c>
      <c r="C343" s="45" t="s">
        <v>3313</v>
      </c>
      <c r="D343" s="44" t="s">
        <v>1430</v>
      </c>
      <c r="E343" s="44" t="s">
        <v>1481</v>
      </c>
      <c r="F343" s="44"/>
      <c r="G343" s="44" t="s">
        <v>1687</v>
      </c>
      <c r="H343" s="44" t="s">
        <v>3314</v>
      </c>
      <c r="I343" s="46" t="s">
        <v>3315</v>
      </c>
      <c r="J343" s="46" t="s">
        <v>3316</v>
      </c>
      <c r="K343" s="46" t="s">
        <v>3317</v>
      </c>
      <c r="L343" s="46" t="s">
        <v>1474</v>
      </c>
      <c r="M343" s="46" t="s">
        <v>3318</v>
      </c>
      <c r="N343" s="46" t="s">
        <v>1531</v>
      </c>
      <c r="O343" s="44" t="s">
        <v>3319</v>
      </c>
      <c r="P343" s="44" t="s">
        <v>3320</v>
      </c>
      <c r="Q343" s="44" t="s">
        <v>1695</v>
      </c>
      <c r="R343" s="44" t="s">
        <v>1463</v>
      </c>
      <c r="S343" s="43"/>
      <c r="T343" s="51">
        <v>45517</v>
      </c>
    </row>
    <row r="344" spans="1:20">
      <c r="A344" s="47" t="s">
        <v>3321</v>
      </c>
      <c r="B344" s="47" t="s">
        <v>3322</v>
      </c>
      <c r="C344" s="48" t="s">
        <v>3323</v>
      </c>
      <c r="D344" s="47" t="s">
        <v>1430</v>
      </c>
      <c r="E344" s="47" t="s">
        <v>1481</v>
      </c>
      <c r="F344" s="47"/>
      <c r="G344" s="47" t="s">
        <v>1663</v>
      </c>
      <c r="H344" s="47" t="s">
        <v>3324</v>
      </c>
      <c r="I344" s="50" t="s">
        <v>3323</v>
      </c>
      <c r="J344" s="50"/>
      <c r="K344" s="50"/>
      <c r="L344" s="50"/>
      <c r="M344" s="50"/>
      <c r="N344" s="50"/>
      <c r="O344" s="47"/>
      <c r="P344" s="47"/>
      <c r="Q344" s="47" t="s">
        <v>1463</v>
      </c>
      <c r="R344" s="47" t="s">
        <v>1463</v>
      </c>
      <c r="S344" s="43"/>
      <c r="T344" s="47"/>
    </row>
    <row r="345" spans="1:20" ht="26.45">
      <c r="A345" s="44" t="s">
        <v>3325</v>
      </c>
      <c r="B345" s="44" t="s">
        <v>3326</v>
      </c>
      <c r="C345" s="45" t="s">
        <v>3327</v>
      </c>
      <c r="D345" s="44" t="s">
        <v>1430</v>
      </c>
      <c r="E345" s="44" t="s">
        <v>1481</v>
      </c>
      <c r="F345" s="44"/>
      <c r="G345" s="44" t="s">
        <v>1663</v>
      </c>
      <c r="H345" s="44" t="s">
        <v>3328</v>
      </c>
      <c r="I345" s="46" t="s">
        <v>3329</v>
      </c>
      <c r="J345" s="46" t="s">
        <v>3330</v>
      </c>
      <c r="K345" s="46" t="s">
        <v>2432</v>
      </c>
      <c r="L345" s="46" t="s">
        <v>2117</v>
      </c>
      <c r="M345" s="46" t="s">
        <v>3331</v>
      </c>
      <c r="N345" s="46" t="s">
        <v>1531</v>
      </c>
      <c r="O345" s="44" t="s">
        <v>3332</v>
      </c>
      <c r="P345" s="44" t="s">
        <v>3333</v>
      </c>
      <c r="Q345" s="44" t="s">
        <v>1463</v>
      </c>
      <c r="R345" s="44" t="s">
        <v>1463</v>
      </c>
      <c r="S345" s="43"/>
      <c r="T345" s="51">
        <v>45639</v>
      </c>
    </row>
    <row r="346" spans="1:20" ht="26.45">
      <c r="A346" s="47" t="s">
        <v>724</v>
      </c>
      <c r="B346" s="47" t="s">
        <v>3334</v>
      </c>
      <c r="C346" s="48" t="s">
        <v>725</v>
      </c>
      <c r="D346" s="47" t="s">
        <v>1430</v>
      </c>
      <c r="E346" s="47" t="s">
        <v>1481</v>
      </c>
      <c r="F346" s="47"/>
      <c r="G346" s="47" t="s">
        <v>1687</v>
      </c>
      <c r="H346" s="47" t="s">
        <v>3335</v>
      </c>
      <c r="I346" s="50" t="s">
        <v>725</v>
      </c>
      <c r="J346" s="50" t="s">
        <v>3336</v>
      </c>
      <c r="K346" s="50" t="s">
        <v>3337</v>
      </c>
      <c r="L346" s="50" t="s">
        <v>1474</v>
      </c>
      <c r="M346" s="50" t="s">
        <v>3338</v>
      </c>
      <c r="N346" s="50" t="s">
        <v>1531</v>
      </c>
      <c r="O346" s="47" t="s">
        <v>3339</v>
      </c>
      <c r="P346" s="47" t="s">
        <v>3340</v>
      </c>
      <c r="Q346" s="47" t="s">
        <v>1695</v>
      </c>
      <c r="R346" s="47" t="s">
        <v>1463</v>
      </c>
      <c r="S346" s="43"/>
      <c r="T346" s="49">
        <v>45628</v>
      </c>
    </row>
    <row r="347" spans="1:20" ht="26.45">
      <c r="A347" s="44" t="s">
        <v>3341</v>
      </c>
      <c r="B347" s="44" t="s">
        <v>3342</v>
      </c>
      <c r="C347" s="45" t="s">
        <v>3343</v>
      </c>
      <c r="D347" s="44" t="s">
        <v>1430</v>
      </c>
      <c r="E347" s="44" t="s">
        <v>1481</v>
      </c>
      <c r="F347" s="44"/>
      <c r="G347" s="44" t="s">
        <v>1687</v>
      </c>
      <c r="H347" s="44" t="s">
        <v>3344</v>
      </c>
      <c r="I347" s="46" t="s">
        <v>3345</v>
      </c>
      <c r="J347" s="46" t="s">
        <v>3346</v>
      </c>
      <c r="K347" s="46" t="s">
        <v>2432</v>
      </c>
      <c r="L347" s="46" t="s">
        <v>1474</v>
      </c>
      <c r="M347" s="46" t="s">
        <v>3347</v>
      </c>
      <c r="N347" s="46" t="s">
        <v>1641</v>
      </c>
      <c r="O347" s="44" t="s">
        <v>3348</v>
      </c>
      <c r="P347" s="44" t="s">
        <v>3349</v>
      </c>
      <c r="Q347" s="44" t="s">
        <v>1695</v>
      </c>
      <c r="R347" s="44" t="s">
        <v>1463</v>
      </c>
      <c r="S347" s="43"/>
      <c r="T347" s="51">
        <v>45363</v>
      </c>
    </row>
    <row r="348" spans="1:20">
      <c r="A348" s="47" t="s">
        <v>3350</v>
      </c>
      <c r="B348" s="47" t="s">
        <v>3351</v>
      </c>
      <c r="C348" s="48" t="s">
        <v>3352</v>
      </c>
      <c r="D348" s="47" t="s">
        <v>1430</v>
      </c>
      <c r="E348" s="47" t="s">
        <v>1481</v>
      </c>
      <c r="F348" s="47"/>
      <c r="G348" s="47" t="s">
        <v>1618</v>
      </c>
      <c r="H348" s="47" t="s">
        <v>3353</v>
      </c>
      <c r="I348" s="50" t="s">
        <v>3354</v>
      </c>
      <c r="J348" s="50" t="s">
        <v>3355</v>
      </c>
      <c r="K348" s="50" t="s">
        <v>3337</v>
      </c>
      <c r="L348" s="50" t="s">
        <v>1504</v>
      </c>
      <c r="M348" s="50" t="s">
        <v>3347</v>
      </c>
      <c r="N348" s="50" t="s">
        <v>1641</v>
      </c>
      <c r="O348" s="47" t="s">
        <v>3348</v>
      </c>
      <c r="P348" s="47"/>
      <c r="Q348" s="47" t="s">
        <v>1463</v>
      </c>
      <c r="R348" s="47" t="s">
        <v>1463</v>
      </c>
      <c r="S348" s="43"/>
      <c r="T348" s="49">
        <v>44664</v>
      </c>
    </row>
    <row r="349" spans="1:20" ht="26.45">
      <c r="A349" s="44" t="s">
        <v>3356</v>
      </c>
      <c r="B349" s="44" t="s">
        <v>3357</v>
      </c>
      <c r="C349" s="45" t="s">
        <v>3358</v>
      </c>
      <c r="D349" s="44" t="s">
        <v>1430</v>
      </c>
      <c r="E349" s="44" t="s">
        <v>1481</v>
      </c>
      <c r="F349" s="44"/>
      <c r="G349" s="44" t="s">
        <v>1687</v>
      </c>
      <c r="H349" s="44" t="s">
        <v>3359</v>
      </c>
      <c r="I349" s="46" t="s">
        <v>3360</v>
      </c>
      <c r="J349" s="46" t="s">
        <v>3346</v>
      </c>
      <c r="K349" s="46" t="s">
        <v>3337</v>
      </c>
      <c r="L349" s="46" t="s">
        <v>1474</v>
      </c>
      <c r="M349" s="46" t="s">
        <v>3347</v>
      </c>
      <c r="N349" s="46" t="s">
        <v>1641</v>
      </c>
      <c r="O349" s="44" t="s">
        <v>3348</v>
      </c>
      <c r="P349" s="44" t="s">
        <v>3349</v>
      </c>
      <c r="Q349" s="44" t="s">
        <v>1695</v>
      </c>
      <c r="R349" s="44" t="s">
        <v>1463</v>
      </c>
      <c r="S349" s="43"/>
      <c r="T349" s="51">
        <v>45363</v>
      </c>
    </row>
    <row r="350" spans="1:20" ht="26.45">
      <c r="A350" s="47" t="s">
        <v>156</v>
      </c>
      <c r="B350" s="47" t="s">
        <v>3361</v>
      </c>
      <c r="C350" s="48" t="s">
        <v>726</v>
      </c>
      <c r="D350" s="47" t="s">
        <v>1414</v>
      </c>
      <c r="E350" s="47" t="s">
        <v>1481</v>
      </c>
      <c r="F350" s="47"/>
      <c r="G350" s="47" t="s">
        <v>1466</v>
      </c>
      <c r="H350" s="47"/>
      <c r="I350" s="50" t="s">
        <v>726</v>
      </c>
      <c r="J350" s="50" t="s">
        <v>3362</v>
      </c>
      <c r="K350" s="50" t="s">
        <v>3363</v>
      </c>
      <c r="L350" s="50" t="s">
        <v>1474</v>
      </c>
      <c r="M350" s="50" t="s">
        <v>3364</v>
      </c>
      <c r="N350" s="50" t="s">
        <v>1525</v>
      </c>
      <c r="O350" s="47"/>
      <c r="P350" s="47" t="s">
        <v>3365</v>
      </c>
      <c r="Q350" s="47" t="s">
        <v>1463</v>
      </c>
      <c r="R350" s="47" t="s">
        <v>1463</v>
      </c>
      <c r="S350" s="43"/>
      <c r="T350" s="49">
        <v>45714</v>
      </c>
    </row>
    <row r="351" spans="1:20">
      <c r="A351" s="44" t="s">
        <v>3366</v>
      </c>
      <c r="B351" s="44" t="s">
        <v>3367</v>
      </c>
      <c r="C351" s="45" t="s">
        <v>3368</v>
      </c>
      <c r="D351" s="44" t="s">
        <v>1414</v>
      </c>
      <c r="E351" s="44" t="s">
        <v>1460</v>
      </c>
      <c r="F351" s="51">
        <v>44257.638802974499</v>
      </c>
      <c r="G351" s="44" t="s">
        <v>1466</v>
      </c>
      <c r="H351" s="44" t="s">
        <v>3369</v>
      </c>
      <c r="I351" s="46" t="s">
        <v>3370</v>
      </c>
      <c r="J351" s="46" t="s">
        <v>3371</v>
      </c>
      <c r="K351" s="46" t="s">
        <v>1484</v>
      </c>
      <c r="L351" s="46" t="s">
        <v>1474</v>
      </c>
      <c r="M351" s="46" t="s">
        <v>3372</v>
      </c>
      <c r="N351" s="46" t="s">
        <v>1531</v>
      </c>
      <c r="O351" s="44" t="s">
        <v>3373</v>
      </c>
      <c r="P351" s="44"/>
      <c r="Q351" s="44" t="s">
        <v>1463</v>
      </c>
      <c r="R351" s="44" t="s">
        <v>1463</v>
      </c>
      <c r="S351" s="43"/>
      <c r="T351" s="51">
        <v>44596</v>
      </c>
    </row>
    <row r="352" spans="1:20" ht="26.45">
      <c r="A352" s="47" t="s">
        <v>157</v>
      </c>
      <c r="B352" s="47" t="s">
        <v>3374</v>
      </c>
      <c r="C352" s="48" t="s">
        <v>727</v>
      </c>
      <c r="D352" s="47" t="s">
        <v>1416</v>
      </c>
      <c r="E352" s="47" t="s">
        <v>1481</v>
      </c>
      <c r="F352" s="47"/>
      <c r="G352" s="47" t="s">
        <v>1687</v>
      </c>
      <c r="H352" s="47" t="s">
        <v>3375</v>
      </c>
      <c r="I352" s="50" t="s">
        <v>3376</v>
      </c>
      <c r="J352" s="50" t="s">
        <v>3377</v>
      </c>
      <c r="K352" s="50" t="s">
        <v>3378</v>
      </c>
      <c r="L352" s="50" t="s">
        <v>1474</v>
      </c>
      <c r="M352" s="50" t="s">
        <v>3379</v>
      </c>
      <c r="N352" s="50" t="s">
        <v>1476</v>
      </c>
      <c r="O352" s="47" t="s">
        <v>3380</v>
      </c>
      <c r="P352" s="47" t="s">
        <v>3381</v>
      </c>
      <c r="Q352" s="47" t="s">
        <v>1695</v>
      </c>
      <c r="R352" s="47" t="s">
        <v>1463</v>
      </c>
      <c r="S352" s="43"/>
      <c r="T352" s="49">
        <v>45323</v>
      </c>
    </row>
    <row r="353" spans="1:20" ht="26.45">
      <c r="A353" s="44" t="s">
        <v>728</v>
      </c>
      <c r="B353" s="44" t="s">
        <v>3382</v>
      </c>
      <c r="C353" s="45" t="s">
        <v>729</v>
      </c>
      <c r="D353" s="44" t="s">
        <v>1416</v>
      </c>
      <c r="E353" s="44" t="s">
        <v>1481</v>
      </c>
      <c r="F353" s="44"/>
      <c r="G353" s="44" t="s">
        <v>1687</v>
      </c>
      <c r="H353" s="44" t="s">
        <v>3383</v>
      </c>
      <c r="I353" s="46" t="s">
        <v>3384</v>
      </c>
      <c r="J353" s="46" t="s">
        <v>3385</v>
      </c>
      <c r="K353" s="46" t="s">
        <v>2736</v>
      </c>
      <c r="L353" s="46" t="s">
        <v>1504</v>
      </c>
      <c r="M353" s="46" t="s">
        <v>3386</v>
      </c>
      <c r="N353" s="46" t="s">
        <v>1516</v>
      </c>
      <c r="O353" s="44" t="s">
        <v>3387</v>
      </c>
      <c r="P353" s="44" t="s">
        <v>3388</v>
      </c>
      <c r="Q353" s="44" t="s">
        <v>1463</v>
      </c>
      <c r="R353" s="44" t="s">
        <v>1463</v>
      </c>
      <c r="S353" s="43"/>
      <c r="T353" s="51">
        <v>45645</v>
      </c>
    </row>
    <row r="354" spans="1:20">
      <c r="A354" s="47" t="s">
        <v>3389</v>
      </c>
      <c r="B354" s="47" t="s">
        <v>3390</v>
      </c>
      <c r="C354" s="48" t="s">
        <v>3391</v>
      </c>
      <c r="D354" s="47" t="s">
        <v>1419</v>
      </c>
      <c r="E354" s="47" t="s">
        <v>1481</v>
      </c>
      <c r="F354" s="47"/>
      <c r="G354" s="47" t="s">
        <v>1461</v>
      </c>
      <c r="H354" s="47"/>
      <c r="I354" s="50"/>
      <c r="J354" s="50"/>
      <c r="K354" s="50"/>
      <c r="L354" s="50"/>
      <c r="M354" s="50"/>
      <c r="N354" s="50"/>
      <c r="O354" s="47"/>
      <c r="P354" s="47"/>
      <c r="Q354" s="47" t="s">
        <v>1463</v>
      </c>
      <c r="R354" s="47" t="s">
        <v>1463</v>
      </c>
      <c r="S354" s="43"/>
      <c r="T354" s="47"/>
    </row>
    <row r="355" spans="1:20" ht="26.45">
      <c r="A355" s="44" t="s">
        <v>3392</v>
      </c>
      <c r="B355" s="44" t="s">
        <v>3393</v>
      </c>
      <c r="C355" s="45" t="s">
        <v>3394</v>
      </c>
      <c r="D355" s="44" t="s">
        <v>1419</v>
      </c>
      <c r="E355" s="44" t="s">
        <v>1460</v>
      </c>
      <c r="F355" s="51">
        <v>44796.709221527803</v>
      </c>
      <c r="G355" s="44" t="s">
        <v>3395</v>
      </c>
      <c r="H355" s="44"/>
      <c r="I355" s="46"/>
      <c r="J355" s="46"/>
      <c r="K355" s="46"/>
      <c r="L355" s="46"/>
      <c r="M355" s="46"/>
      <c r="N355" s="46"/>
      <c r="O355" s="44"/>
      <c r="P355" s="44"/>
      <c r="Q355" s="44" t="s">
        <v>1463</v>
      </c>
      <c r="R355" s="44" t="s">
        <v>1463</v>
      </c>
      <c r="S355" s="43"/>
      <c r="T355" s="44"/>
    </row>
    <row r="356" spans="1:20" ht="26.45">
      <c r="A356" s="47" t="s">
        <v>3396</v>
      </c>
      <c r="B356" s="47" t="s">
        <v>3397</v>
      </c>
      <c r="C356" s="48" t="s">
        <v>3398</v>
      </c>
      <c r="D356" s="47" t="s">
        <v>1428</v>
      </c>
      <c r="E356" s="47" t="s">
        <v>1481</v>
      </c>
      <c r="F356" s="47"/>
      <c r="G356" s="47" t="s">
        <v>1663</v>
      </c>
      <c r="H356" s="47" t="s">
        <v>3399</v>
      </c>
      <c r="I356" s="50" t="s">
        <v>3400</v>
      </c>
      <c r="J356" s="50" t="s">
        <v>3401</v>
      </c>
      <c r="K356" s="50" t="s">
        <v>3050</v>
      </c>
      <c r="L356" s="50" t="s">
        <v>1504</v>
      </c>
      <c r="M356" s="50" t="s">
        <v>3402</v>
      </c>
      <c r="N356" s="50" t="s">
        <v>1525</v>
      </c>
      <c r="O356" s="47" t="s">
        <v>3403</v>
      </c>
      <c r="P356" s="47" t="s">
        <v>3404</v>
      </c>
      <c r="Q356" s="47" t="s">
        <v>1463</v>
      </c>
      <c r="R356" s="47" t="s">
        <v>1463</v>
      </c>
      <c r="S356" s="43"/>
      <c r="T356" s="49">
        <v>45411</v>
      </c>
    </row>
    <row r="357" spans="1:20" ht="26.45">
      <c r="A357" s="44" t="s">
        <v>3405</v>
      </c>
      <c r="B357" s="44" t="s">
        <v>3406</v>
      </c>
      <c r="C357" s="45" t="s">
        <v>3407</v>
      </c>
      <c r="D357" s="44" t="s">
        <v>1433</v>
      </c>
      <c r="E357" s="44" t="s">
        <v>1481</v>
      </c>
      <c r="F357" s="44"/>
      <c r="G357" s="44" t="s">
        <v>1663</v>
      </c>
      <c r="H357" s="44" t="s">
        <v>3408</v>
      </c>
      <c r="I357" s="46" t="s">
        <v>3409</v>
      </c>
      <c r="J357" s="46" t="s">
        <v>3410</v>
      </c>
      <c r="K357" s="46" t="s">
        <v>3411</v>
      </c>
      <c r="L357" s="46" t="s">
        <v>1474</v>
      </c>
      <c r="M357" s="46" t="s">
        <v>3412</v>
      </c>
      <c r="N357" s="46" t="s">
        <v>1525</v>
      </c>
      <c r="O357" s="44" t="s">
        <v>3413</v>
      </c>
      <c r="P357" s="44" t="s">
        <v>3414</v>
      </c>
      <c r="Q357" s="44" t="s">
        <v>1463</v>
      </c>
      <c r="R357" s="44" t="s">
        <v>1463</v>
      </c>
      <c r="S357" s="43"/>
      <c r="T357" s="51">
        <v>45581</v>
      </c>
    </row>
    <row r="358" spans="1:20" ht="26.45">
      <c r="A358" s="47" t="s">
        <v>3415</v>
      </c>
      <c r="B358" s="47" t="s">
        <v>3416</v>
      </c>
      <c r="C358" s="48" t="s">
        <v>3417</v>
      </c>
      <c r="D358" s="47" t="s">
        <v>1416</v>
      </c>
      <c r="E358" s="47" t="s">
        <v>1481</v>
      </c>
      <c r="F358" s="47"/>
      <c r="G358" s="47" t="s">
        <v>1663</v>
      </c>
      <c r="H358" s="47" t="s">
        <v>3418</v>
      </c>
      <c r="I358" s="50" t="s">
        <v>3419</v>
      </c>
      <c r="J358" s="50" t="s">
        <v>3420</v>
      </c>
      <c r="K358" s="50" t="s">
        <v>3421</v>
      </c>
      <c r="L358" s="50" t="s">
        <v>1474</v>
      </c>
      <c r="M358" s="50" t="s">
        <v>3422</v>
      </c>
      <c r="N358" s="50" t="s">
        <v>1516</v>
      </c>
      <c r="O358" s="47" t="s">
        <v>3423</v>
      </c>
      <c r="P358" s="47" t="s">
        <v>3424</v>
      </c>
      <c r="Q358" s="47" t="s">
        <v>1463</v>
      </c>
      <c r="R358" s="47" t="s">
        <v>1463</v>
      </c>
      <c r="S358" s="43"/>
      <c r="T358" s="49">
        <v>45412</v>
      </c>
    </row>
    <row r="359" spans="1:20" ht="26.45">
      <c r="A359" s="44" t="s">
        <v>3425</v>
      </c>
      <c r="B359" s="44" t="s">
        <v>3426</v>
      </c>
      <c r="C359" s="45" t="s">
        <v>3427</v>
      </c>
      <c r="D359" s="44" t="s">
        <v>1410</v>
      </c>
      <c r="E359" s="44" t="s">
        <v>1481</v>
      </c>
      <c r="F359" s="44"/>
      <c r="G359" s="44" t="s">
        <v>1663</v>
      </c>
      <c r="H359" s="44" t="s">
        <v>3428</v>
      </c>
      <c r="I359" s="46" t="s">
        <v>3429</v>
      </c>
      <c r="J359" s="46" t="s">
        <v>3430</v>
      </c>
      <c r="K359" s="46" t="s">
        <v>1764</v>
      </c>
      <c r="L359" s="46" t="s">
        <v>1474</v>
      </c>
      <c r="M359" s="46" t="s">
        <v>3431</v>
      </c>
      <c r="N359" s="46" t="s">
        <v>1531</v>
      </c>
      <c r="O359" s="44" t="s">
        <v>3432</v>
      </c>
      <c r="P359" s="44" t="s">
        <v>3433</v>
      </c>
      <c r="Q359" s="44" t="s">
        <v>1463</v>
      </c>
      <c r="R359" s="44" t="s">
        <v>1463</v>
      </c>
      <c r="S359" s="43"/>
      <c r="T359" s="51">
        <v>45586</v>
      </c>
    </row>
    <row r="360" spans="1:20" ht="26.45">
      <c r="A360" s="47" t="s">
        <v>730</v>
      </c>
      <c r="B360" s="47" t="s">
        <v>3434</v>
      </c>
      <c r="C360" s="48" t="s">
        <v>731</v>
      </c>
      <c r="D360" s="47" t="s">
        <v>1414</v>
      </c>
      <c r="E360" s="47" t="s">
        <v>1481</v>
      </c>
      <c r="F360" s="47"/>
      <c r="G360" s="47" t="s">
        <v>1466</v>
      </c>
      <c r="H360" s="47" t="s">
        <v>3435</v>
      </c>
      <c r="I360" s="50" t="s">
        <v>731</v>
      </c>
      <c r="J360" s="50" t="s">
        <v>3436</v>
      </c>
      <c r="K360" s="50" t="s">
        <v>1484</v>
      </c>
      <c r="L360" s="50" t="s">
        <v>1474</v>
      </c>
      <c r="M360" s="50" t="s">
        <v>3437</v>
      </c>
      <c r="N360" s="50" t="s">
        <v>1525</v>
      </c>
      <c r="O360" s="47" t="s">
        <v>3438</v>
      </c>
      <c r="P360" s="47" t="s">
        <v>3439</v>
      </c>
      <c r="Q360" s="47" t="s">
        <v>1463</v>
      </c>
      <c r="R360" s="47" t="s">
        <v>1463</v>
      </c>
      <c r="S360" s="43"/>
      <c r="T360" s="49">
        <v>45323</v>
      </c>
    </row>
    <row r="361" spans="1:20" ht="26.45">
      <c r="A361" s="44" t="s">
        <v>732</v>
      </c>
      <c r="B361" s="44" t="s">
        <v>3440</v>
      </c>
      <c r="C361" s="45" t="s">
        <v>733</v>
      </c>
      <c r="D361" s="44" t="s">
        <v>1420</v>
      </c>
      <c r="E361" s="44" t="s">
        <v>1481</v>
      </c>
      <c r="F361" s="44"/>
      <c r="G361" s="44" t="s">
        <v>1466</v>
      </c>
      <c r="H361" s="44" t="s">
        <v>3441</v>
      </c>
      <c r="I361" s="46" t="s">
        <v>733</v>
      </c>
      <c r="J361" s="46" t="s">
        <v>3442</v>
      </c>
      <c r="K361" s="46" t="s">
        <v>3443</v>
      </c>
      <c r="L361" s="46" t="s">
        <v>1474</v>
      </c>
      <c r="M361" s="46" t="s">
        <v>3444</v>
      </c>
      <c r="N361" s="46" t="s">
        <v>1476</v>
      </c>
      <c r="O361" s="44" t="s">
        <v>3445</v>
      </c>
      <c r="P361" s="44" t="s">
        <v>3446</v>
      </c>
      <c r="Q361" s="44" t="s">
        <v>1463</v>
      </c>
      <c r="R361" s="44" t="s">
        <v>1463</v>
      </c>
      <c r="S361" s="43"/>
      <c r="T361" s="51">
        <v>45321</v>
      </c>
    </row>
    <row r="362" spans="1:20" ht="26.45">
      <c r="A362" s="47" t="s">
        <v>158</v>
      </c>
      <c r="B362" s="47" t="s">
        <v>3447</v>
      </c>
      <c r="C362" s="48" t="s">
        <v>734</v>
      </c>
      <c r="D362" s="47" t="s">
        <v>1424</v>
      </c>
      <c r="E362" s="47" t="s">
        <v>1481</v>
      </c>
      <c r="F362" s="47"/>
      <c r="G362" s="47" t="s">
        <v>1687</v>
      </c>
      <c r="H362" s="47" t="s">
        <v>3448</v>
      </c>
      <c r="I362" s="50" t="s">
        <v>3449</v>
      </c>
      <c r="J362" s="50" t="s">
        <v>3450</v>
      </c>
      <c r="K362" s="50" t="s">
        <v>3451</v>
      </c>
      <c r="L362" s="50" t="s">
        <v>1504</v>
      </c>
      <c r="M362" s="50" t="s">
        <v>3452</v>
      </c>
      <c r="N362" s="50" t="s">
        <v>1641</v>
      </c>
      <c r="O362" s="47" t="s">
        <v>3453</v>
      </c>
      <c r="P362" s="47" t="s">
        <v>3454</v>
      </c>
      <c r="Q362" s="47" t="s">
        <v>1695</v>
      </c>
      <c r="R362" s="47" t="s">
        <v>1463</v>
      </c>
      <c r="S362" s="43"/>
      <c r="T362" s="49">
        <v>45490</v>
      </c>
    </row>
    <row r="363" spans="1:20" ht="26.45">
      <c r="A363" s="44" t="s">
        <v>159</v>
      </c>
      <c r="B363" s="44" t="s">
        <v>3455</v>
      </c>
      <c r="C363" s="45" t="s">
        <v>735</v>
      </c>
      <c r="D363" s="44" t="s">
        <v>1419</v>
      </c>
      <c r="E363" s="44" t="s">
        <v>1481</v>
      </c>
      <c r="F363" s="44"/>
      <c r="G363" s="44" t="s">
        <v>1466</v>
      </c>
      <c r="H363" s="44" t="s">
        <v>3456</v>
      </c>
      <c r="I363" s="46" t="s">
        <v>3457</v>
      </c>
      <c r="J363" s="46" t="s">
        <v>3458</v>
      </c>
      <c r="K363" s="46" t="s">
        <v>1503</v>
      </c>
      <c r="L363" s="46" t="s">
        <v>1474</v>
      </c>
      <c r="M363" s="46" t="s">
        <v>3459</v>
      </c>
      <c r="N363" s="46" t="s">
        <v>1476</v>
      </c>
      <c r="O363" s="44" t="s">
        <v>3460</v>
      </c>
      <c r="P363" s="44" t="s">
        <v>3461</v>
      </c>
      <c r="Q363" s="44" t="s">
        <v>1463</v>
      </c>
      <c r="R363" s="44" t="s">
        <v>1463</v>
      </c>
      <c r="S363" s="43"/>
      <c r="T363" s="51">
        <v>45658</v>
      </c>
    </row>
    <row r="364" spans="1:20" ht="26.45">
      <c r="A364" s="47" t="s">
        <v>160</v>
      </c>
      <c r="B364" s="47" t="s">
        <v>3462</v>
      </c>
      <c r="C364" s="48" t="s">
        <v>736</v>
      </c>
      <c r="D364" s="47" t="s">
        <v>1420</v>
      </c>
      <c r="E364" s="47" t="s">
        <v>1481</v>
      </c>
      <c r="F364" s="47"/>
      <c r="G364" s="47" t="s">
        <v>1687</v>
      </c>
      <c r="H364" s="47" t="s">
        <v>3463</v>
      </c>
      <c r="I364" s="50" t="s">
        <v>3464</v>
      </c>
      <c r="J364" s="50" t="s">
        <v>3465</v>
      </c>
      <c r="K364" s="50" t="s">
        <v>3466</v>
      </c>
      <c r="L364" s="50" t="s">
        <v>1474</v>
      </c>
      <c r="M364" s="50" t="s">
        <v>3467</v>
      </c>
      <c r="N364" s="50" t="s">
        <v>1531</v>
      </c>
      <c r="O364" s="47" t="s">
        <v>3468</v>
      </c>
      <c r="P364" s="47" t="s">
        <v>3469</v>
      </c>
      <c r="Q364" s="47" t="s">
        <v>1695</v>
      </c>
      <c r="R364" s="47" t="s">
        <v>1463</v>
      </c>
      <c r="S364" s="43"/>
      <c r="T364" s="49">
        <v>45428</v>
      </c>
    </row>
    <row r="365" spans="1:20">
      <c r="A365" s="44" t="s">
        <v>3470</v>
      </c>
      <c r="B365" s="44" t="s">
        <v>3471</v>
      </c>
      <c r="C365" s="45" t="s">
        <v>3472</v>
      </c>
      <c r="D365" s="44" t="s">
        <v>1431</v>
      </c>
      <c r="E365" s="44" t="s">
        <v>1460</v>
      </c>
      <c r="F365" s="44"/>
      <c r="G365" s="44" t="s">
        <v>1618</v>
      </c>
      <c r="H365" s="44"/>
      <c r="I365" s="46"/>
      <c r="J365" s="46"/>
      <c r="K365" s="46"/>
      <c r="L365" s="46"/>
      <c r="M365" s="46"/>
      <c r="N365" s="46"/>
      <c r="O365" s="44"/>
      <c r="P365" s="44"/>
      <c r="Q365" s="44" t="s">
        <v>1463</v>
      </c>
      <c r="R365" s="44" t="s">
        <v>1463</v>
      </c>
      <c r="S365" s="43"/>
      <c r="T365" s="44"/>
    </row>
    <row r="366" spans="1:20" ht="26.45">
      <c r="A366" s="47" t="s">
        <v>161</v>
      </c>
      <c r="B366" s="47" t="s">
        <v>3473</v>
      </c>
      <c r="C366" s="48" t="s">
        <v>737</v>
      </c>
      <c r="D366" s="47" t="s">
        <v>1414</v>
      </c>
      <c r="E366" s="47" t="s">
        <v>1481</v>
      </c>
      <c r="F366" s="47"/>
      <c r="G366" s="47" t="s">
        <v>1687</v>
      </c>
      <c r="H366" s="47" t="s">
        <v>3474</v>
      </c>
      <c r="I366" s="50" t="s">
        <v>3475</v>
      </c>
      <c r="J366" s="50" t="s">
        <v>3476</v>
      </c>
      <c r="K366" s="50" t="s">
        <v>3363</v>
      </c>
      <c r="L366" s="50" t="s">
        <v>1474</v>
      </c>
      <c r="M366" s="50" t="s">
        <v>3477</v>
      </c>
      <c r="N366" s="50" t="s">
        <v>1525</v>
      </c>
      <c r="O366" s="47" t="s">
        <v>3478</v>
      </c>
      <c r="P366" s="47" t="s">
        <v>3479</v>
      </c>
      <c r="Q366" s="47" t="s">
        <v>1695</v>
      </c>
      <c r="R366" s="47" t="s">
        <v>1463</v>
      </c>
      <c r="S366" s="43"/>
      <c r="T366" s="49">
        <v>45680</v>
      </c>
    </row>
    <row r="367" spans="1:20" ht="26.45">
      <c r="A367" s="44" t="s">
        <v>162</v>
      </c>
      <c r="B367" s="44" t="s">
        <v>3480</v>
      </c>
      <c r="C367" s="45" t="s">
        <v>738</v>
      </c>
      <c r="D367" s="44" t="s">
        <v>1410</v>
      </c>
      <c r="E367" s="44" t="s">
        <v>1481</v>
      </c>
      <c r="F367" s="44"/>
      <c r="G367" s="44" t="s">
        <v>1687</v>
      </c>
      <c r="H367" s="44" t="s">
        <v>3481</v>
      </c>
      <c r="I367" s="46" t="s">
        <v>3482</v>
      </c>
      <c r="J367" s="46" t="s">
        <v>3483</v>
      </c>
      <c r="K367" s="46" t="s">
        <v>1772</v>
      </c>
      <c r="L367" s="46" t="s">
        <v>1504</v>
      </c>
      <c r="M367" s="46" t="s">
        <v>3484</v>
      </c>
      <c r="N367" s="46" t="s">
        <v>1531</v>
      </c>
      <c r="O367" s="44" t="s">
        <v>3485</v>
      </c>
      <c r="P367" s="44" t="s">
        <v>3486</v>
      </c>
      <c r="Q367" s="44" t="s">
        <v>1695</v>
      </c>
      <c r="R367" s="44" t="s">
        <v>1463</v>
      </c>
      <c r="S367" s="43"/>
      <c r="T367" s="51">
        <v>45608</v>
      </c>
    </row>
    <row r="368" spans="1:20" ht="26.45">
      <c r="A368" s="47" t="s">
        <v>739</v>
      </c>
      <c r="B368" s="47" t="s">
        <v>3487</v>
      </c>
      <c r="C368" s="48" t="s">
        <v>740</v>
      </c>
      <c r="D368" s="47" t="s">
        <v>1419</v>
      </c>
      <c r="E368" s="47" t="s">
        <v>1481</v>
      </c>
      <c r="F368" s="47"/>
      <c r="G368" s="47" t="s">
        <v>1466</v>
      </c>
      <c r="H368" s="47" t="s">
        <v>3488</v>
      </c>
      <c r="I368" s="50" t="s">
        <v>740</v>
      </c>
      <c r="J368" s="50" t="s">
        <v>3489</v>
      </c>
      <c r="K368" s="50" t="s">
        <v>1493</v>
      </c>
      <c r="L368" s="50" t="s">
        <v>1504</v>
      </c>
      <c r="M368" s="50" t="s">
        <v>3490</v>
      </c>
      <c r="N368" s="50" t="s">
        <v>1495</v>
      </c>
      <c r="O368" s="47" t="s">
        <v>3491</v>
      </c>
      <c r="P368" s="47" t="s">
        <v>3492</v>
      </c>
      <c r="Q368" s="47" t="s">
        <v>1463</v>
      </c>
      <c r="R368" s="47" t="s">
        <v>1463</v>
      </c>
      <c r="S368" s="43"/>
      <c r="T368" s="49">
        <v>45316</v>
      </c>
    </row>
    <row r="369" spans="1:20" ht="26.45">
      <c r="A369" s="44" t="s">
        <v>741</v>
      </c>
      <c r="B369" s="44" t="s">
        <v>3493</v>
      </c>
      <c r="C369" s="45" t="s">
        <v>742</v>
      </c>
      <c r="D369" s="44" t="s">
        <v>1419</v>
      </c>
      <c r="E369" s="44" t="s">
        <v>1481</v>
      </c>
      <c r="F369" s="44"/>
      <c r="G369" s="44" t="s">
        <v>1466</v>
      </c>
      <c r="H369" s="44" t="s">
        <v>3494</v>
      </c>
      <c r="I369" s="46" t="s">
        <v>3495</v>
      </c>
      <c r="J369" s="46" t="s">
        <v>3496</v>
      </c>
      <c r="K369" s="46" t="s">
        <v>1493</v>
      </c>
      <c r="L369" s="46" t="s">
        <v>1504</v>
      </c>
      <c r="M369" s="46" t="s">
        <v>3497</v>
      </c>
      <c r="N369" s="46" t="s">
        <v>1729</v>
      </c>
      <c r="O369" s="44" t="s">
        <v>3498</v>
      </c>
      <c r="P369" s="44" t="s">
        <v>3499</v>
      </c>
      <c r="Q369" s="44" t="s">
        <v>1463</v>
      </c>
      <c r="R369" s="44" t="s">
        <v>1463</v>
      </c>
      <c r="S369" s="43"/>
      <c r="T369" s="51">
        <v>45671</v>
      </c>
    </row>
    <row r="370" spans="1:20" ht="26.45">
      <c r="A370" s="47" t="s">
        <v>743</v>
      </c>
      <c r="B370" s="47" t="s">
        <v>3500</v>
      </c>
      <c r="C370" s="48" t="s">
        <v>744</v>
      </c>
      <c r="D370" s="47" t="s">
        <v>1419</v>
      </c>
      <c r="E370" s="47" t="s">
        <v>1481</v>
      </c>
      <c r="F370" s="47"/>
      <c r="G370" s="47" t="s">
        <v>1466</v>
      </c>
      <c r="H370" s="47" t="s">
        <v>3501</v>
      </c>
      <c r="I370" s="50" t="s">
        <v>3502</v>
      </c>
      <c r="J370" s="50" t="s">
        <v>3503</v>
      </c>
      <c r="K370" s="50" t="s">
        <v>1493</v>
      </c>
      <c r="L370" s="50" t="s">
        <v>1504</v>
      </c>
      <c r="M370" s="50" t="s">
        <v>3504</v>
      </c>
      <c r="N370" s="50" t="s">
        <v>1525</v>
      </c>
      <c r="O370" s="47" t="s">
        <v>3505</v>
      </c>
      <c r="P370" s="47" t="s">
        <v>3506</v>
      </c>
      <c r="Q370" s="47" t="s">
        <v>1463</v>
      </c>
      <c r="R370" s="47" t="s">
        <v>1463</v>
      </c>
      <c r="S370" s="43"/>
      <c r="T370" s="49">
        <v>45597</v>
      </c>
    </row>
    <row r="371" spans="1:20">
      <c r="A371" s="44" t="s">
        <v>3507</v>
      </c>
      <c r="B371" s="44"/>
      <c r="C371" s="45" t="s">
        <v>3508</v>
      </c>
      <c r="D371" s="44" t="s">
        <v>1420</v>
      </c>
      <c r="E371" s="44" t="s">
        <v>1460</v>
      </c>
      <c r="F371" s="51">
        <v>41474.645834409697</v>
      </c>
      <c r="G371" s="44" t="s">
        <v>1466</v>
      </c>
      <c r="H371" s="44"/>
      <c r="I371" s="46"/>
      <c r="J371" s="46"/>
      <c r="K371" s="46"/>
      <c r="L371" s="46"/>
      <c r="M371" s="46"/>
      <c r="N371" s="46"/>
      <c r="O371" s="44"/>
      <c r="P371" s="44"/>
      <c r="Q371" s="44" t="s">
        <v>1463</v>
      </c>
      <c r="R371" s="44" t="s">
        <v>1463</v>
      </c>
      <c r="S371" s="43"/>
      <c r="T371" s="44"/>
    </row>
    <row r="372" spans="1:20" ht="26.45">
      <c r="A372" s="47" t="s">
        <v>163</v>
      </c>
      <c r="B372" s="47" t="s">
        <v>3509</v>
      </c>
      <c r="C372" s="48" t="s">
        <v>745</v>
      </c>
      <c r="D372" s="47" t="s">
        <v>1420</v>
      </c>
      <c r="E372" s="47" t="s">
        <v>1481</v>
      </c>
      <c r="F372" s="47"/>
      <c r="G372" s="47" t="s">
        <v>1687</v>
      </c>
      <c r="H372" s="47" t="s">
        <v>3510</v>
      </c>
      <c r="I372" s="50" t="s">
        <v>3511</v>
      </c>
      <c r="J372" s="50" t="s">
        <v>3512</v>
      </c>
      <c r="K372" s="50" t="s">
        <v>3513</v>
      </c>
      <c r="L372" s="50" t="s">
        <v>1504</v>
      </c>
      <c r="M372" s="50" t="s">
        <v>3514</v>
      </c>
      <c r="N372" s="50" t="s">
        <v>1531</v>
      </c>
      <c r="O372" s="47" t="s">
        <v>3515</v>
      </c>
      <c r="P372" s="47" t="s">
        <v>3516</v>
      </c>
      <c r="Q372" s="47" t="s">
        <v>1695</v>
      </c>
      <c r="R372" s="47" t="s">
        <v>1463</v>
      </c>
      <c r="S372" s="43"/>
      <c r="T372" s="49">
        <v>45594</v>
      </c>
    </row>
    <row r="373" spans="1:20">
      <c r="A373" s="44" t="s">
        <v>3517</v>
      </c>
      <c r="B373" s="44" t="s">
        <v>3518</v>
      </c>
      <c r="C373" s="45" t="s">
        <v>3519</v>
      </c>
      <c r="D373" s="44" t="s">
        <v>1419</v>
      </c>
      <c r="E373" s="44" t="s">
        <v>1460</v>
      </c>
      <c r="F373" s="51">
        <v>43656.708804664398</v>
      </c>
      <c r="G373" s="44" t="s">
        <v>1466</v>
      </c>
      <c r="H373" s="44"/>
      <c r="I373" s="46"/>
      <c r="J373" s="46"/>
      <c r="K373" s="46"/>
      <c r="L373" s="46"/>
      <c r="M373" s="46"/>
      <c r="N373" s="46"/>
      <c r="O373" s="44"/>
      <c r="P373" s="44"/>
      <c r="Q373" s="44" t="s">
        <v>1463</v>
      </c>
      <c r="R373" s="44" t="s">
        <v>1463</v>
      </c>
      <c r="S373" s="43"/>
      <c r="T373" s="44"/>
    </row>
    <row r="374" spans="1:20" ht="26.45">
      <c r="A374" s="47" t="s">
        <v>164</v>
      </c>
      <c r="B374" s="47" t="s">
        <v>3520</v>
      </c>
      <c r="C374" s="48" t="s">
        <v>746</v>
      </c>
      <c r="D374" s="47" t="s">
        <v>1419</v>
      </c>
      <c r="E374" s="47" t="s">
        <v>1481</v>
      </c>
      <c r="F374" s="47"/>
      <c r="G374" s="47" t="s">
        <v>1466</v>
      </c>
      <c r="H374" s="47" t="s">
        <v>3521</v>
      </c>
      <c r="I374" s="50" t="s">
        <v>746</v>
      </c>
      <c r="J374" s="50" t="s">
        <v>3522</v>
      </c>
      <c r="K374" s="50" t="s">
        <v>3523</v>
      </c>
      <c r="L374" s="50" t="s">
        <v>1504</v>
      </c>
      <c r="M374" s="50" t="s">
        <v>3524</v>
      </c>
      <c r="N374" s="50" t="s">
        <v>1531</v>
      </c>
      <c r="O374" s="47" t="s">
        <v>3525</v>
      </c>
      <c r="P374" s="47" t="s">
        <v>3526</v>
      </c>
      <c r="Q374" s="47" t="s">
        <v>1463</v>
      </c>
      <c r="R374" s="47" t="s">
        <v>1463</v>
      </c>
      <c r="S374" s="43"/>
      <c r="T374" s="49">
        <v>45333</v>
      </c>
    </row>
    <row r="375" spans="1:20" ht="26.45">
      <c r="A375" s="44" t="s">
        <v>751</v>
      </c>
      <c r="B375" s="44" t="s">
        <v>3527</v>
      </c>
      <c r="C375" s="45" t="s">
        <v>752</v>
      </c>
      <c r="D375" s="44" t="s">
        <v>1419</v>
      </c>
      <c r="E375" s="44" t="s">
        <v>1481</v>
      </c>
      <c r="F375" s="44"/>
      <c r="G375" s="44" t="s">
        <v>1466</v>
      </c>
      <c r="H375" s="44" t="s">
        <v>3528</v>
      </c>
      <c r="I375" s="46" t="s">
        <v>752</v>
      </c>
      <c r="J375" s="46" t="s">
        <v>3529</v>
      </c>
      <c r="K375" s="46" t="s">
        <v>1493</v>
      </c>
      <c r="L375" s="46" t="s">
        <v>1474</v>
      </c>
      <c r="M375" s="46" t="s">
        <v>3130</v>
      </c>
      <c r="N375" s="46" t="s">
        <v>1629</v>
      </c>
      <c r="O375" s="44" t="s">
        <v>3530</v>
      </c>
      <c r="P375" s="44" t="s">
        <v>3531</v>
      </c>
      <c r="Q375" s="44" t="s">
        <v>1463</v>
      </c>
      <c r="R375" s="44" t="s">
        <v>1463</v>
      </c>
      <c r="S375" s="43"/>
      <c r="T375" s="51">
        <v>45397</v>
      </c>
    </row>
    <row r="376" spans="1:20" ht="26.45">
      <c r="A376" s="47" t="s">
        <v>3532</v>
      </c>
      <c r="B376" s="47" t="s">
        <v>3533</v>
      </c>
      <c r="C376" s="48" t="s">
        <v>3534</v>
      </c>
      <c r="D376" s="47" t="s">
        <v>1414</v>
      </c>
      <c r="E376" s="47" t="s">
        <v>1481</v>
      </c>
      <c r="F376" s="47"/>
      <c r="G376" s="47" t="s">
        <v>1466</v>
      </c>
      <c r="H376" s="47" t="s">
        <v>1665</v>
      </c>
      <c r="I376" s="50"/>
      <c r="J376" s="50"/>
      <c r="K376" s="50"/>
      <c r="L376" s="50"/>
      <c r="M376" s="50"/>
      <c r="N376" s="50"/>
      <c r="O376" s="47"/>
      <c r="P376" s="47"/>
      <c r="Q376" s="47" t="s">
        <v>1463</v>
      </c>
      <c r="R376" s="47" t="s">
        <v>1463</v>
      </c>
      <c r="S376" s="43"/>
      <c r="T376" s="47"/>
    </row>
    <row r="377" spans="1:20" ht="26.45">
      <c r="A377" s="44" t="s">
        <v>747</v>
      </c>
      <c r="B377" s="44" t="s">
        <v>3535</v>
      </c>
      <c r="C377" s="45" t="s">
        <v>748</v>
      </c>
      <c r="D377" s="44" t="s">
        <v>1414</v>
      </c>
      <c r="E377" s="44" t="s">
        <v>1481</v>
      </c>
      <c r="F377" s="44"/>
      <c r="G377" s="44" t="s">
        <v>1466</v>
      </c>
      <c r="H377" s="44" t="s">
        <v>3536</v>
      </c>
      <c r="I377" s="46" t="s">
        <v>752</v>
      </c>
      <c r="J377" s="46" t="s">
        <v>3529</v>
      </c>
      <c r="K377" s="46" t="s">
        <v>1493</v>
      </c>
      <c r="L377" s="46" t="s">
        <v>1474</v>
      </c>
      <c r="M377" s="46" t="s">
        <v>3537</v>
      </c>
      <c r="N377" s="46" t="s">
        <v>1629</v>
      </c>
      <c r="O377" s="44" t="s">
        <v>3538</v>
      </c>
      <c r="P377" s="44" t="s">
        <v>3531</v>
      </c>
      <c r="Q377" s="44" t="s">
        <v>1463</v>
      </c>
      <c r="R377" s="44" t="s">
        <v>1463</v>
      </c>
      <c r="S377" s="43"/>
      <c r="T377" s="51">
        <v>45397</v>
      </c>
    </row>
    <row r="378" spans="1:20" ht="26.45">
      <c r="A378" s="47" t="s">
        <v>749</v>
      </c>
      <c r="B378" s="47" t="s">
        <v>3539</v>
      </c>
      <c r="C378" s="48" t="s">
        <v>750</v>
      </c>
      <c r="D378" s="47" t="s">
        <v>1414</v>
      </c>
      <c r="E378" s="47" t="s">
        <v>1481</v>
      </c>
      <c r="F378" s="47"/>
      <c r="G378" s="47" t="s">
        <v>1466</v>
      </c>
      <c r="H378" s="47" t="s">
        <v>3540</v>
      </c>
      <c r="I378" s="50" t="s">
        <v>752</v>
      </c>
      <c r="J378" s="50" t="s">
        <v>3529</v>
      </c>
      <c r="K378" s="50" t="s">
        <v>1493</v>
      </c>
      <c r="L378" s="50" t="s">
        <v>1474</v>
      </c>
      <c r="M378" s="50" t="s">
        <v>3537</v>
      </c>
      <c r="N378" s="50" t="s">
        <v>1629</v>
      </c>
      <c r="O378" s="47" t="s">
        <v>3541</v>
      </c>
      <c r="P378" s="47" t="s">
        <v>3531</v>
      </c>
      <c r="Q378" s="47" t="s">
        <v>1463</v>
      </c>
      <c r="R378" s="47" t="s">
        <v>1463</v>
      </c>
      <c r="S378" s="43"/>
      <c r="T378" s="49">
        <v>45397</v>
      </c>
    </row>
    <row r="379" spans="1:20" ht="26.45">
      <c r="A379" s="44" t="s">
        <v>165</v>
      </c>
      <c r="B379" s="44" t="s">
        <v>3542</v>
      </c>
      <c r="C379" s="45" t="s">
        <v>753</v>
      </c>
      <c r="D379" s="44" t="s">
        <v>1425</v>
      </c>
      <c r="E379" s="44" t="s">
        <v>1481</v>
      </c>
      <c r="F379" s="44"/>
      <c r="G379" s="44" t="s">
        <v>1687</v>
      </c>
      <c r="H379" s="44" t="s">
        <v>3543</v>
      </c>
      <c r="I379" s="46" t="s">
        <v>3544</v>
      </c>
      <c r="J379" s="46" t="s">
        <v>3545</v>
      </c>
      <c r="K379" s="46" t="s">
        <v>1425</v>
      </c>
      <c r="L379" s="46" t="s">
        <v>1474</v>
      </c>
      <c r="M379" s="46" t="s">
        <v>3546</v>
      </c>
      <c r="N379" s="46" t="s">
        <v>1495</v>
      </c>
      <c r="O379" s="44" t="s">
        <v>3547</v>
      </c>
      <c r="P379" s="44" t="s">
        <v>3548</v>
      </c>
      <c r="Q379" s="44" t="s">
        <v>1695</v>
      </c>
      <c r="R379" s="44" t="s">
        <v>1463</v>
      </c>
      <c r="S379" s="43"/>
      <c r="T379" s="51">
        <v>45559</v>
      </c>
    </row>
    <row r="380" spans="1:20">
      <c r="A380" s="47" t="s">
        <v>3549</v>
      </c>
      <c r="B380" s="47" t="s">
        <v>3550</v>
      </c>
      <c r="C380" s="48" t="s">
        <v>3551</v>
      </c>
      <c r="D380" s="47" t="s">
        <v>1419</v>
      </c>
      <c r="E380" s="47" t="s">
        <v>1460</v>
      </c>
      <c r="F380" s="49">
        <v>44012.958333645802</v>
      </c>
      <c r="G380" s="47" t="s">
        <v>1466</v>
      </c>
      <c r="H380" s="47" t="s">
        <v>3552</v>
      </c>
      <c r="I380" s="50" t="s">
        <v>3551</v>
      </c>
      <c r="J380" s="50" t="s">
        <v>3553</v>
      </c>
      <c r="K380" s="50" t="s">
        <v>1493</v>
      </c>
      <c r="L380" s="50" t="s">
        <v>1504</v>
      </c>
      <c r="M380" s="50" t="s">
        <v>3554</v>
      </c>
      <c r="N380" s="50" t="s">
        <v>1495</v>
      </c>
      <c r="O380" s="47" t="s">
        <v>3555</v>
      </c>
      <c r="P380" s="47"/>
      <c r="Q380" s="47" t="s">
        <v>1463</v>
      </c>
      <c r="R380" s="47" t="s">
        <v>1463</v>
      </c>
      <c r="S380" s="43"/>
      <c r="T380" s="49">
        <v>44123</v>
      </c>
    </row>
    <row r="381" spans="1:20" ht="26.45">
      <c r="A381" s="44" t="s">
        <v>166</v>
      </c>
      <c r="B381" s="44" t="s">
        <v>3556</v>
      </c>
      <c r="C381" s="45" t="s">
        <v>754</v>
      </c>
      <c r="D381" s="44" t="s">
        <v>1419</v>
      </c>
      <c r="E381" s="44" t="s">
        <v>1481</v>
      </c>
      <c r="F381" s="44"/>
      <c r="G381" s="44" t="s">
        <v>1687</v>
      </c>
      <c r="H381" s="44" t="s">
        <v>3557</v>
      </c>
      <c r="I381" s="46" t="s">
        <v>3558</v>
      </c>
      <c r="J381" s="46" t="s">
        <v>3559</v>
      </c>
      <c r="K381" s="46" t="s">
        <v>1493</v>
      </c>
      <c r="L381" s="46" t="s">
        <v>1504</v>
      </c>
      <c r="M381" s="46" t="s">
        <v>3560</v>
      </c>
      <c r="N381" s="46" t="s">
        <v>1516</v>
      </c>
      <c r="O381" s="44" t="s">
        <v>3561</v>
      </c>
      <c r="P381" s="44" t="s">
        <v>3562</v>
      </c>
      <c r="Q381" s="44" t="s">
        <v>1463</v>
      </c>
      <c r="R381" s="44" t="s">
        <v>1463</v>
      </c>
      <c r="S381" s="43"/>
      <c r="T381" s="51">
        <v>45369</v>
      </c>
    </row>
    <row r="382" spans="1:20" ht="26.45">
      <c r="A382" s="47" t="s">
        <v>167</v>
      </c>
      <c r="B382" s="47" t="s">
        <v>3563</v>
      </c>
      <c r="C382" s="48" t="s">
        <v>755</v>
      </c>
      <c r="D382" s="47" t="s">
        <v>1419</v>
      </c>
      <c r="E382" s="47" t="s">
        <v>1481</v>
      </c>
      <c r="F382" s="47"/>
      <c r="G382" s="47" t="s">
        <v>1466</v>
      </c>
      <c r="H382" s="47" t="s">
        <v>3564</v>
      </c>
      <c r="I382" s="50" t="s">
        <v>3565</v>
      </c>
      <c r="J382" s="50" t="s">
        <v>3566</v>
      </c>
      <c r="K382" s="50" t="s">
        <v>3567</v>
      </c>
      <c r="L382" s="50" t="s">
        <v>1474</v>
      </c>
      <c r="M382" s="50" t="s">
        <v>3568</v>
      </c>
      <c r="N382" s="50" t="s">
        <v>1729</v>
      </c>
      <c r="O382" s="47" t="s">
        <v>3569</v>
      </c>
      <c r="P382" s="47" t="s">
        <v>3570</v>
      </c>
      <c r="Q382" s="47" t="s">
        <v>1463</v>
      </c>
      <c r="R382" s="47" t="s">
        <v>1463</v>
      </c>
      <c r="S382" s="43"/>
      <c r="T382" s="49">
        <v>45407</v>
      </c>
    </row>
    <row r="383" spans="1:20" ht="26.45">
      <c r="A383" s="44" t="s">
        <v>756</v>
      </c>
      <c r="B383" s="44" t="s">
        <v>3571</v>
      </c>
      <c r="C383" s="45" t="s">
        <v>757</v>
      </c>
      <c r="D383" s="44" t="s">
        <v>1420</v>
      </c>
      <c r="E383" s="44" t="s">
        <v>1481</v>
      </c>
      <c r="F383" s="44"/>
      <c r="G383" s="44" t="s">
        <v>1687</v>
      </c>
      <c r="H383" s="44" t="s">
        <v>3572</v>
      </c>
      <c r="I383" s="46" t="s">
        <v>3573</v>
      </c>
      <c r="J383" s="46" t="s">
        <v>3574</v>
      </c>
      <c r="K383" s="46" t="s">
        <v>3575</v>
      </c>
      <c r="L383" s="46" t="s">
        <v>1504</v>
      </c>
      <c r="M383" s="46" t="s">
        <v>3576</v>
      </c>
      <c r="N383" s="46" t="s">
        <v>1476</v>
      </c>
      <c r="O383" s="44" t="s">
        <v>3577</v>
      </c>
      <c r="P383" s="44" t="s">
        <v>3578</v>
      </c>
      <c r="Q383" s="44" t="s">
        <v>1695</v>
      </c>
      <c r="R383" s="44" t="s">
        <v>1463</v>
      </c>
      <c r="S383" s="43"/>
      <c r="T383" s="51">
        <v>45532</v>
      </c>
    </row>
    <row r="384" spans="1:20" ht="26.45">
      <c r="A384" s="47" t="s">
        <v>3579</v>
      </c>
      <c r="B384" s="47" t="s">
        <v>3580</v>
      </c>
      <c r="C384" s="48" t="s">
        <v>3581</v>
      </c>
      <c r="D384" s="47" t="s">
        <v>1414</v>
      </c>
      <c r="E384" s="47" t="s">
        <v>1481</v>
      </c>
      <c r="F384" s="47"/>
      <c r="G384" s="47" t="s">
        <v>1490</v>
      </c>
      <c r="H384" s="47" t="s">
        <v>3582</v>
      </c>
      <c r="I384" s="50" t="s">
        <v>3583</v>
      </c>
      <c r="J384" s="50" t="s">
        <v>3584</v>
      </c>
      <c r="K384" s="50" t="s">
        <v>1484</v>
      </c>
      <c r="L384" s="50" t="s">
        <v>1504</v>
      </c>
      <c r="M384" s="50" t="s">
        <v>3585</v>
      </c>
      <c r="N384" s="50" t="s">
        <v>1629</v>
      </c>
      <c r="O384" s="47" t="s">
        <v>3586</v>
      </c>
      <c r="P384" s="47"/>
      <c r="Q384" s="47" t="s">
        <v>1463</v>
      </c>
      <c r="R384" s="47" t="s">
        <v>1463</v>
      </c>
      <c r="S384" s="43"/>
      <c r="T384" s="49">
        <v>44015</v>
      </c>
    </row>
    <row r="385" spans="1:20">
      <c r="A385" s="44" t="s">
        <v>3587</v>
      </c>
      <c r="B385" s="44"/>
      <c r="C385" s="45" t="s">
        <v>3588</v>
      </c>
      <c r="D385" s="44" t="s">
        <v>1419</v>
      </c>
      <c r="E385" s="44" t="s">
        <v>1460</v>
      </c>
      <c r="F385" s="51">
        <v>41457.382442048598</v>
      </c>
      <c r="G385" s="44" t="s">
        <v>1466</v>
      </c>
      <c r="H385" s="44" t="s">
        <v>3589</v>
      </c>
      <c r="I385" s="46"/>
      <c r="J385" s="46"/>
      <c r="K385" s="46"/>
      <c r="L385" s="46"/>
      <c r="M385" s="46"/>
      <c r="N385" s="46"/>
      <c r="O385" s="44"/>
      <c r="P385" s="44"/>
      <c r="Q385" s="44" t="s">
        <v>1463</v>
      </c>
      <c r="R385" s="44" t="s">
        <v>1463</v>
      </c>
      <c r="S385" s="43"/>
      <c r="T385" s="44"/>
    </row>
    <row r="386" spans="1:20" ht="26.45">
      <c r="A386" s="47" t="s">
        <v>168</v>
      </c>
      <c r="B386" s="47" t="s">
        <v>3590</v>
      </c>
      <c r="C386" s="48" t="s">
        <v>758</v>
      </c>
      <c r="D386" s="47" t="s">
        <v>1419</v>
      </c>
      <c r="E386" s="47" t="s">
        <v>1481</v>
      </c>
      <c r="F386" s="47"/>
      <c r="G386" s="47" t="s">
        <v>1466</v>
      </c>
      <c r="H386" s="47" t="s">
        <v>3591</v>
      </c>
      <c r="I386" s="50" t="s">
        <v>758</v>
      </c>
      <c r="J386" s="50" t="s">
        <v>3592</v>
      </c>
      <c r="K386" s="50" t="s">
        <v>1975</v>
      </c>
      <c r="L386" s="50" t="s">
        <v>1504</v>
      </c>
      <c r="M386" s="50" t="s">
        <v>3593</v>
      </c>
      <c r="N386" s="50" t="s">
        <v>1516</v>
      </c>
      <c r="O386" s="47" t="s">
        <v>3594</v>
      </c>
      <c r="P386" s="47" t="s">
        <v>3595</v>
      </c>
      <c r="Q386" s="47" t="s">
        <v>1463</v>
      </c>
      <c r="R386" s="47" t="s">
        <v>1463</v>
      </c>
      <c r="S386" s="43"/>
      <c r="T386" s="49">
        <v>45555</v>
      </c>
    </row>
    <row r="387" spans="1:20" ht="26.45">
      <c r="A387" s="44" t="s">
        <v>169</v>
      </c>
      <c r="B387" s="44" t="s">
        <v>3596</v>
      </c>
      <c r="C387" s="45" t="s">
        <v>761</v>
      </c>
      <c r="D387" s="44" t="s">
        <v>1414</v>
      </c>
      <c r="E387" s="44" t="s">
        <v>1481</v>
      </c>
      <c r="F387" s="44"/>
      <c r="G387" s="44" t="s">
        <v>1466</v>
      </c>
      <c r="H387" s="44" t="s">
        <v>3597</v>
      </c>
      <c r="I387" s="46" t="s">
        <v>3598</v>
      </c>
      <c r="J387" s="46" t="s">
        <v>3599</v>
      </c>
      <c r="K387" s="46" t="s">
        <v>1484</v>
      </c>
      <c r="L387" s="46" t="s">
        <v>1504</v>
      </c>
      <c r="M387" s="46" t="s">
        <v>3600</v>
      </c>
      <c r="N387" s="46" t="s">
        <v>1531</v>
      </c>
      <c r="O387" s="44" t="s">
        <v>3601</v>
      </c>
      <c r="P387" s="44" t="s">
        <v>3602</v>
      </c>
      <c r="Q387" s="44" t="s">
        <v>1463</v>
      </c>
      <c r="R387" s="44" t="s">
        <v>1463</v>
      </c>
      <c r="S387" s="43"/>
      <c r="T387" s="51">
        <v>45558</v>
      </c>
    </row>
    <row r="388" spans="1:20" ht="26.45">
      <c r="A388" s="47" t="s">
        <v>3603</v>
      </c>
      <c r="B388" s="47" t="s">
        <v>3604</v>
      </c>
      <c r="C388" s="48" t="s">
        <v>3605</v>
      </c>
      <c r="D388" s="47" t="s">
        <v>1419</v>
      </c>
      <c r="E388" s="47" t="s">
        <v>1460</v>
      </c>
      <c r="F388" s="49">
        <v>42145.674563506902</v>
      </c>
      <c r="G388" s="47" t="s">
        <v>1466</v>
      </c>
      <c r="H388" s="47" t="s">
        <v>3606</v>
      </c>
      <c r="I388" s="50" t="s">
        <v>3605</v>
      </c>
      <c r="J388" s="50" t="s">
        <v>3607</v>
      </c>
      <c r="K388" s="50" t="s">
        <v>1523</v>
      </c>
      <c r="L388" s="50" t="s">
        <v>1504</v>
      </c>
      <c r="M388" s="50" t="s">
        <v>3608</v>
      </c>
      <c r="N388" s="50" t="s">
        <v>1744</v>
      </c>
      <c r="O388" s="47" t="s">
        <v>3609</v>
      </c>
      <c r="P388" s="47"/>
      <c r="Q388" s="47" t="s">
        <v>1463</v>
      </c>
      <c r="R388" s="47" t="s">
        <v>1463</v>
      </c>
      <c r="S388" s="43"/>
      <c r="T388" s="49">
        <v>42321</v>
      </c>
    </row>
    <row r="389" spans="1:20" ht="26.45">
      <c r="A389" s="44" t="s">
        <v>170</v>
      </c>
      <c r="B389" s="44" t="s">
        <v>3610</v>
      </c>
      <c r="C389" s="45" t="s">
        <v>759</v>
      </c>
      <c r="D389" s="44" t="s">
        <v>1414</v>
      </c>
      <c r="E389" s="44" t="s">
        <v>1481</v>
      </c>
      <c r="F389" s="44"/>
      <c r="G389" s="44" t="s">
        <v>1466</v>
      </c>
      <c r="H389" s="44" t="s">
        <v>3611</v>
      </c>
      <c r="I389" s="46" t="s">
        <v>759</v>
      </c>
      <c r="J389" s="46" t="s">
        <v>3612</v>
      </c>
      <c r="K389" s="46" t="s">
        <v>1493</v>
      </c>
      <c r="L389" s="46" t="s">
        <v>1504</v>
      </c>
      <c r="M389" s="46" t="s">
        <v>3613</v>
      </c>
      <c r="N389" s="46" t="s">
        <v>1495</v>
      </c>
      <c r="O389" s="44" t="s">
        <v>3614</v>
      </c>
      <c r="P389" s="44" t="s">
        <v>3615</v>
      </c>
      <c r="Q389" s="44" t="s">
        <v>1463</v>
      </c>
      <c r="R389" s="44" t="s">
        <v>1463</v>
      </c>
      <c r="S389" s="43"/>
      <c r="T389" s="51">
        <v>45572</v>
      </c>
    </row>
    <row r="390" spans="1:20" ht="26.45">
      <c r="A390" s="47" t="s">
        <v>171</v>
      </c>
      <c r="B390" s="47" t="s">
        <v>3616</v>
      </c>
      <c r="C390" s="48" t="s">
        <v>760</v>
      </c>
      <c r="D390" s="47" t="s">
        <v>1414</v>
      </c>
      <c r="E390" s="47" t="s">
        <v>1481</v>
      </c>
      <c r="F390" s="47"/>
      <c r="G390" s="47" t="s">
        <v>1466</v>
      </c>
      <c r="H390" s="47" t="s">
        <v>3617</v>
      </c>
      <c r="I390" s="50" t="s">
        <v>3618</v>
      </c>
      <c r="J390" s="50" t="s">
        <v>3619</v>
      </c>
      <c r="K390" s="50" t="s">
        <v>1484</v>
      </c>
      <c r="L390" s="50" t="s">
        <v>1504</v>
      </c>
      <c r="M390" s="50" t="s">
        <v>3620</v>
      </c>
      <c r="N390" s="50" t="s">
        <v>1525</v>
      </c>
      <c r="O390" s="47" t="s">
        <v>3621</v>
      </c>
      <c r="P390" s="47" t="s">
        <v>3622</v>
      </c>
      <c r="Q390" s="47" t="s">
        <v>1463</v>
      </c>
      <c r="R390" s="47" t="s">
        <v>1463</v>
      </c>
      <c r="S390" s="43"/>
      <c r="T390" s="49">
        <v>45551</v>
      </c>
    </row>
    <row r="391" spans="1:20" ht="26.45">
      <c r="A391" s="44" t="s">
        <v>762</v>
      </c>
      <c r="B391" s="44" t="s">
        <v>3623</v>
      </c>
      <c r="C391" s="45" t="s">
        <v>763</v>
      </c>
      <c r="D391" s="44" t="s">
        <v>1414</v>
      </c>
      <c r="E391" s="44" t="s">
        <v>1481</v>
      </c>
      <c r="F391" s="44"/>
      <c r="G391" s="44" t="s">
        <v>1466</v>
      </c>
      <c r="H391" s="44" t="s">
        <v>3624</v>
      </c>
      <c r="I391" s="46" t="s">
        <v>3625</v>
      </c>
      <c r="J391" s="46" t="s">
        <v>3626</v>
      </c>
      <c r="K391" s="46" t="s">
        <v>1484</v>
      </c>
      <c r="L391" s="46" t="s">
        <v>1504</v>
      </c>
      <c r="M391" s="46" t="s">
        <v>3627</v>
      </c>
      <c r="N391" s="46" t="s">
        <v>1531</v>
      </c>
      <c r="O391" s="44" t="s">
        <v>3628</v>
      </c>
      <c r="P391" s="44" t="s">
        <v>3629</v>
      </c>
      <c r="Q391" s="44" t="s">
        <v>1463</v>
      </c>
      <c r="R391" s="44" t="s">
        <v>1463</v>
      </c>
      <c r="S391" s="43"/>
      <c r="T391" s="51">
        <v>45572</v>
      </c>
    </row>
    <row r="392" spans="1:20" ht="26.45">
      <c r="A392" s="47" t="s">
        <v>172</v>
      </c>
      <c r="B392" s="47" t="s">
        <v>3630</v>
      </c>
      <c r="C392" s="48" t="s">
        <v>764</v>
      </c>
      <c r="D392" s="47" t="s">
        <v>1419</v>
      </c>
      <c r="E392" s="47" t="s">
        <v>1481</v>
      </c>
      <c r="F392" s="47"/>
      <c r="G392" s="47" t="s">
        <v>1466</v>
      </c>
      <c r="H392" s="47" t="s">
        <v>3631</v>
      </c>
      <c r="I392" s="50" t="s">
        <v>3632</v>
      </c>
      <c r="J392" s="50" t="s">
        <v>3633</v>
      </c>
      <c r="K392" s="50" t="s">
        <v>1727</v>
      </c>
      <c r="L392" s="50" t="s">
        <v>1504</v>
      </c>
      <c r="M392" s="50" t="s">
        <v>3634</v>
      </c>
      <c r="N392" s="50" t="s">
        <v>1729</v>
      </c>
      <c r="O392" s="47" t="s">
        <v>3635</v>
      </c>
      <c r="P392" s="47" t="s">
        <v>3636</v>
      </c>
      <c r="Q392" s="47" t="s">
        <v>1463</v>
      </c>
      <c r="R392" s="47" t="s">
        <v>1463</v>
      </c>
      <c r="S392" s="43"/>
      <c r="T392" s="49">
        <v>45572</v>
      </c>
    </row>
    <row r="393" spans="1:20">
      <c r="A393" s="44" t="s">
        <v>3637</v>
      </c>
      <c r="B393" s="44"/>
      <c r="C393" s="45" t="s">
        <v>3638</v>
      </c>
      <c r="D393" s="44" t="s">
        <v>1414</v>
      </c>
      <c r="E393" s="44" t="s">
        <v>1460</v>
      </c>
      <c r="F393" s="51">
        <v>41831.959912500002</v>
      </c>
      <c r="G393" s="44" t="s">
        <v>1466</v>
      </c>
      <c r="H393" s="44"/>
      <c r="I393" s="46"/>
      <c r="J393" s="46"/>
      <c r="K393" s="46"/>
      <c r="L393" s="46"/>
      <c r="M393" s="46"/>
      <c r="N393" s="46"/>
      <c r="O393" s="44"/>
      <c r="P393" s="44"/>
      <c r="Q393" s="44" t="s">
        <v>1463</v>
      </c>
      <c r="R393" s="44" t="s">
        <v>1463</v>
      </c>
      <c r="S393" s="43"/>
      <c r="T393" s="44"/>
    </row>
    <row r="394" spans="1:20" ht="26.45">
      <c r="A394" s="47" t="s">
        <v>3639</v>
      </c>
      <c r="B394" s="47" t="s">
        <v>3640</v>
      </c>
      <c r="C394" s="48" t="s">
        <v>3641</v>
      </c>
      <c r="D394" s="47" t="s">
        <v>1414</v>
      </c>
      <c r="E394" s="47" t="s">
        <v>1481</v>
      </c>
      <c r="F394" s="47"/>
      <c r="G394" s="47" t="s">
        <v>1490</v>
      </c>
      <c r="H394" s="47"/>
      <c r="I394" s="50" t="s">
        <v>3641</v>
      </c>
      <c r="J394" s="50" t="s">
        <v>3642</v>
      </c>
      <c r="K394" s="50" t="s">
        <v>2764</v>
      </c>
      <c r="L394" s="50" t="s">
        <v>1504</v>
      </c>
      <c r="M394" s="50" t="s">
        <v>3643</v>
      </c>
      <c r="N394" s="50"/>
      <c r="O394" s="47"/>
      <c r="P394" s="47"/>
      <c r="Q394" s="47" t="s">
        <v>1463</v>
      </c>
      <c r="R394" s="47" t="s">
        <v>1463</v>
      </c>
      <c r="S394" s="43"/>
      <c r="T394" s="47"/>
    </row>
    <row r="395" spans="1:20" ht="26.45">
      <c r="A395" s="44" t="s">
        <v>765</v>
      </c>
      <c r="B395" s="44" t="s">
        <v>3644</v>
      </c>
      <c r="C395" s="45" t="s">
        <v>766</v>
      </c>
      <c r="D395" s="44" t="s">
        <v>1419</v>
      </c>
      <c r="E395" s="44" t="s">
        <v>1481</v>
      </c>
      <c r="F395" s="44"/>
      <c r="G395" s="44" t="s">
        <v>1466</v>
      </c>
      <c r="H395" s="44" t="s">
        <v>3645</v>
      </c>
      <c r="I395" s="46" t="s">
        <v>3646</v>
      </c>
      <c r="J395" s="46" t="s">
        <v>3647</v>
      </c>
      <c r="K395" s="46" t="s">
        <v>1493</v>
      </c>
      <c r="L395" s="46" t="s">
        <v>1474</v>
      </c>
      <c r="M395" s="46" t="s">
        <v>3648</v>
      </c>
      <c r="N395" s="46" t="s">
        <v>1525</v>
      </c>
      <c r="O395" s="44" t="s">
        <v>3649</v>
      </c>
      <c r="P395" s="44" t="s">
        <v>3650</v>
      </c>
      <c r="Q395" s="44" t="s">
        <v>1463</v>
      </c>
      <c r="R395" s="44" t="s">
        <v>1463</v>
      </c>
      <c r="S395" s="43"/>
      <c r="T395" s="51">
        <v>45490</v>
      </c>
    </row>
    <row r="396" spans="1:20" ht="26.45">
      <c r="A396" s="47" t="s">
        <v>173</v>
      </c>
      <c r="B396" s="47" t="s">
        <v>3651</v>
      </c>
      <c r="C396" s="48" t="s">
        <v>767</v>
      </c>
      <c r="D396" s="47" t="s">
        <v>1419</v>
      </c>
      <c r="E396" s="47" t="s">
        <v>1481</v>
      </c>
      <c r="F396" s="47"/>
      <c r="G396" s="47" t="s">
        <v>1687</v>
      </c>
      <c r="H396" s="47" t="s">
        <v>3652</v>
      </c>
      <c r="I396" s="50" t="s">
        <v>3653</v>
      </c>
      <c r="J396" s="50" t="s">
        <v>3654</v>
      </c>
      <c r="K396" s="50" t="s">
        <v>1493</v>
      </c>
      <c r="L396" s="50" t="s">
        <v>1504</v>
      </c>
      <c r="M396" s="50" t="s">
        <v>3655</v>
      </c>
      <c r="N396" s="50" t="s">
        <v>1525</v>
      </c>
      <c r="O396" s="47" t="s">
        <v>3656</v>
      </c>
      <c r="P396" s="47" t="s">
        <v>3657</v>
      </c>
      <c r="Q396" s="47" t="s">
        <v>1463</v>
      </c>
      <c r="R396" s="47" t="s">
        <v>1463</v>
      </c>
      <c r="S396" s="43"/>
      <c r="T396" s="49">
        <v>45568</v>
      </c>
    </row>
    <row r="397" spans="1:20">
      <c r="A397" s="44" t="s">
        <v>3658</v>
      </c>
      <c r="B397" s="44" t="s">
        <v>3659</v>
      </c>
      <c r="C397" s="45" t="s">
        <v>3660</v>
      </c>
      <c r="D397" s="44" t="s">
        <v>1424</v>
      </c>
      <c r="E397" s="44" t="s">
        <v>1481</v>
      </c>
      <c r="F397" s="44"/>
      <c r="G397" s="44" t="s">
        <v>1687</v>
      </c>
      <c r="H397" s="44"/>
      <c r="I397" s="46" t="s">
        <v>3660</v>
      </c>
      <c r="J397" s="46" t="s">
        <v>3661</v>
      </c>
      <c r="K397" s="46" t="s">
        <v>1523</v>
      </c>
      <c r="L397" s="46" t="s">
        <v>1504</v>
      </c>
      <c r="M397" s="46" t="s">
        <v>3662</v>
      </c>
      <c r="N397" s="46"/>
      <c r="O397" s="44"/>
      <c r="P397" s="44"/>
      <c r="Q397" s="44" t="s">
        <v>1463</v>
      </c>
      <c r="R397" s="44" t="s">
        <v>1463</v>
      </c>
      <c r="S397" s="43"/>
      <c r="T397" s="44"/>
    </row>
    <row r="398" spans="1:20" ht="26.45">
      <c r="A398" s="47" t="s">
        <v>174</v>
      </c>
      <c r="B398" s="47" t="s">
        <v>3663</v>
      </c>
      <c r="C398" s="48" t="s">
        <v>768</v>
      </c>
      <c r="D398" s="47" t="s">
        <v>1419</v>
      </c>
      <c r="E398" s="47" t="s">
        <v>1481</v>
      </c>
      <c r="F398" s="47"/>
      <c r="G398" s="47" t="s">
        <v>1466</v>
      </c>
      <c r="H398" s="47" t="s">
        <v>3664</v>
      </c>
      <c r="I398" s="50" t="s">
        <v>768</v>
      </c>
      <c r="J398" s="50" t="s">
        <v>3665</v>
      </c>
      <c r="K398" s="50" t="s">
        <v>1549</v>
      </c>
      <c r="L398" s="50" t="s">
        <v>1474</v>
      </c>
      <c r="M398" s="50" t="s">
        <v>3666</v>
      </c>
      <c r="N398" s="50" t="s">
        <v>1729</v>
      </c>
      <c r="O398" s="47" t="s">
        <v>3667</v>
      </c>
      <c r="P398" s="47" t="s">
        <v>3668</v>
      </c>
      <c r="Q398" s="47" t="s">
        <v>1463</v>
      </c>
      <c r="R398" s="47" t="s">
        <v>1463</v>
      </c>
      <c r="S398" s="43"/>
      <c r="T398" s="49">
        <v>45355</v>
      </c>
    </row>
    <row r="399" spans="1:20" ht="26.45">
      <c r="A399" s="44" t="s">
        <v>3669</v>
      </c>
      <c r="B399" s="44" t="s">
        <v>3670</v>
      </c>
      <c r="C399" s="45" t="s">
        <v>3671</v>
      </c>
      <c r="D399" s="44" t="s">
        <v>1414</v>
      </c>
      <c r="E399" s="44" t="s">
        <v>1481</v>
      </c>
      <c r="F399" s="44"/>
      <c r="G399" s="44" t="s">
        <v>1466</v>
      </c>
      <c r="H399" s="44" t="s">
        <v>3672</v>
      </c>
      <c r="I399" s="46" t="s">
        <v>3673</v>
      </c>
      <c r="J399" s="46" t="s">
        <v>2905</v>
      </c>
      <c r="K399" s="46" t="s">
        <v>1484</v>
      </c>
      <c r="L399" s="46" t="s">
        <v>1504</v>
      </c>
      <c r="M399" s="46" t="s">
        <v>2906</v>
      </c>
      <c r="N399" s="46" t="s">
        <v>1641</v>
      </c>
      <c r="O399" s="44" t="s">
        <v>2262</v>
      </c>
      <c r="P399" s="44"/>
      <c r="Q399" s="44" t="s">
        <v>1463</v>
      </c>
      <c r="R399" s="44" t="s">
        <v>1463</v>
      </c>
      <c r="S399" s="43"/>
      <c r="T399" s="51">
        <v>45275</v>
      </c>
    </row>
    <row r="400" spans="1:20">
      <c r="A400" s="47" t="s">
        <v>769</v>
      </c>
      <c r="B400" s="47" t="s">
        <v>3674</v>
      </c>
      <c r="C400" s="48" t="s">
        <v>770</v>
      </c>
      <c r="D400" s="47" t="s">
        <v>1414</v>
      </c>
      <c r="E400" s="47" t="s">
        <v>1481</v>
      </c>
      <c r="F400" s="47"/>
      <c r="G400" s="47" t="s">
        <v>1466</v>
      </c>
      <c r="H400" s="47" t="s">
        <v>3675</v>
      </c>
      <c r="I400" s="50" t="s">
        <v>770</v>
      </c>
      <c r="J400" s="50" t="s">
        <v>3676</v>
      </c>
      <c r="K400" s="50" t="s">
        <v>2764</v>
      </c>
      <c r="L400" s="50" t="s">
        <v>1504</v>
      </c>
      <c r="M400" s="50" t="s">
        <v>3677</v>
      </c>
      <c r="N400" s="50" t="s">
        <v>1495</v>
      </c>
      <c r="O400" s="47"/>
      <c r="P400" s="47"/>
      <c r="Q400" s="47" t="s">
        <v>1463</v>
      </c>
      <c r="R400" s="47" t="s">
        <v>1463</v>
      </c>
      <c r="S400" s="43"/>
      <c r="T400" s="49">
        <v>45693</v>
      </c>
    </row>
    <row r="401" spans="1:20" ht="26.45">
      <c r="A401" s="44" t="s">
        <v>175</v>
      </c>
      <c r="B401" s="44" t="s">
        <v>3678</v>
      </c>
      <c r="C401" s="45" t="s">
        <v>771</v>
      </c>
      <c r="D401" s="44" t="s">
        <v>1414</v>
      </c>
      <c r="E401" s="44" t="s">
        <v>1481</v>
      </c>
      <c r="F401" s="44"/>
      <c r="G401" s="44" t="s">
        <v>1466</v>
      </c>
      <c r="H401" s="44" t="s">
        <v>3679</v>
      </c>
      <c r="I401" s="46" t="s">
        <v>3680</v>
      </c>
      <c r="J401" s="46" t="s">
        <v>3681</v>
      </c>
      <c r="K401" s="46" t="s">
        <v>1484</v>
      </c>
      <c r="L401" s="46" t="s">
        <v>1504</v>
      </c>
      <c r="M401" s="46" t="s">
        <v>3682</v>
      </c>
      <c r="N401" s="46" t="s">
        <v>1525</v>
      </c>
      <c r="O401" s="44" t="s">
        <v>3683</v>
      </c>
      <c r="P401" s="44" t="s">
        <v>3684</v>
      </c>
      <c r="Q401" s="44" t="s">
        <v>1463</v>
      </c>
      <c r="R401" s="44" t="s">
        <v>1463</v>
      </c>
      <c r="S401" s="43"/>
      <c r="T401" s="51">
        <v>45600</v>
      </c>
    </row>
    <row r="402" spans="1:20" ht="26.45">
      <c r="A402" s="47" t="s">
        <v>3685</v>
      </c>
      <c r="B402" s="47" t="s">
        <v>3686</v>
      </c>
      <c r="C402" s="48" t="s">
        <v>3687</v>
      </c>
      <c r="D402" s="47" t="s">
        <v>1414</v>
      </c>
      <c r="E402" s="47" t="s">
        <v>1481</v>
      </c>
      <c r="F402" s="47"/>
      <c r="G402" s="47" t="s">
        <v>1466</v>
      </c>
      <c r="H402" s="47" t="s">
        <v>3688</v>
      </c>
      <c r="I402" s="50" t="s">
        <v>3687</v>
      </c>
      <c r="J402" s="50"/>
      <c r="K402" s="50"/>
      <c r="L402" s="50"/>
      <c r="M402" s="50"/>
      <c r="N402" s="50"/>
      <c r="O402" s="47" t="s">
        <v>2262</v>
      </c>
      <c r="P402" s="47"/>
      <c r="Q402" s="47" t="s">
        <v>1463</v>
      </c>
      <c r="R402" s="47" t="s">
        <v>1463</v>
      </c>
      <c r="S402" s="43"/>
      <c r="T402" s="47"/>
    </row>
    <row r="403" spans="1:20">
      <c r="A403" s="44" t="s">
        <v>3689</v>
      </c>
      <c r="B403" s="44"/>
      <c r="C403" s="45" t="s">
        <v>3690</v>
      </c>
      <c r="D403" s="44" t="s">
        <v>1419</v>
      </c>
      <c r="E403" s="44" t="s">
        <v>1460</v>
      </c>
      <c r="F403" s="51">
        <v>42452.6871853009</v>
      </c>
      <c r="G403" s="44" t="s">
        <v>1466</v>
      </c>
      <c r="H403" s="44"/>
      <c r="I403" s="46"/>
      <c r="J403" s="46"/>
      <c r="K403" s="46"/>
      <c r="L403" s="46"/>
      <c r="M403" s="46"/>
      <c r="N403" s="46"/>
      <c r="O403" s="44"/>
      <c r="P403" s="44"/>
      <c r="Q403" s="44" t="s">
        <v>1463</v>
      </c>
      <c r="R403" s="44" t="s">
        <v>1463</v>
      </c>
      <c r="S403" s="43"/>
      <c r="T403" s="44"/>
    </row>
    <row r="404" spans="1:20" ht="26.45">
      <c r="A404" s="47" t="s">
        <v>176</v>
      </c>
      <c r="B404" s="47" t="s">
        <v>3691</v>
      </c>
      <c r="C404" s="48" t="s">
        <v>772</v>
      </c>
      <c r="D404" s="47" t="s">
        <v>1416</v>
      </c>
      <c r="E404" s="47" t="s">
        <v>1481</v>
      </c>
      <c r="F404" s="47"/>
      <c r="G404" s="47" t="s">
        <v>1466</v>
      </c>
      <c r="H404" s="47" t="s">
        <v>3692</v>
      </c>
      <c r="I404" s="50" t="s">
        <v>3693</v>
      </c>
      <c r="J404" s="50" t="s">
        <v>3694</v>
      </c>
      <c r="K404" s="50" t="s">
        <v>1569</v>
      </c>
      <c r="L404" s="50" t="s">
        <v>1504</v>
      </c>
      <c r="M404" s="50" t="s">
        <v>3695</v>
      </c>
      <c r="N404" s="50" t="s">
        <v>1516</v>
      </c>
      <c r="O404" s="47" t="s">
        <v>3696</v>
      </c>
      <c r="P404" s="47" t="s">
        <v>3697</v>
      </c>
      <c r="Q404" s="47" t="s">
        <v>1463</v>
      </c>
      <c r="R404" s="47" t="s">
        <v>1463</v>
      </c>
      <c r="S404" s="43"/>
      <c r="T404" s="49">
        <v>45553</v>
      </c>
    </row>
    <row r="405" spans="1:20" ht="26.45">
      <c r="A405" s="44" t="s">
        <v>177</v>
      </c>
      <c r="B405" s="44" t="s">
        <v>3698</v>
      </c>
      <c r="C405" s="45" t="s">
        <v>773</v>
      </c>
      <c r="D405" s="44" t="s">
        <v>1420</v>
      </c>
      <c r="E405" s="44" t="s">
        <v>1481</v>
      </c>
      <c r="F405" s="44"/>
      <c r="G405" s="44" t="s">
        <v>1466</v>
      </c>
      <c r="H405" s="44" t="s">
        <v>3699</v>
      </c>
      <c r="I405" s="46" t="s">
        <v>3700</v>
      </c>
      <c r="J405" s="46" t="s">
        <v>3701</v>
      </c>
      <c r="K405" s="46" t="s">
        <v>3702</v>
      </c>
      <c r="L405" s="46" t="s">
        <v>1474</v>
      </c>
      <c r="M405" s="46" t="s">
        <v>3703</v>
      </c>
      <c r="N405" s="46" t="s">
        <v>1476</v>
      </c>
      <c r="O405" s="44" t="s">
        <v>3704</v>
      </c>
      <c r="P405" s="44" t="s">
        <v>3705</v>
      </c>
      <c r="Q405" s="44" t="s">
        <v>1463</v>
      </c>
      <c r="R405" s="44" t="s">
        <v>1463</v>
      </c>
      <c r="S405" s="43"/>
      <c r="T405" s="51">
        <v>45328</v>
      </c>
    </row>
    <row r="406" spans="1:20">
      <c r="A406" s="47" t="s">
        <v>3706</v>
      </c>
      <c r="B406" s="47"/>
      <c r="C406" s="48" t="s">
        <v>3707</v>
      </c>
      <c r="D406" s="47" t="s">
        <v>1416</v>
      </c>
      <c r="E406" s="47" t="s">
        <v>1460</v>
      </c>
      <c r="F406" s="49">
        <v>41457.382443090297</v>
      </c>
      <c r="G406" s="47" t="s">
        <v>1466</v>
      </c>
      <c r="H406" s="47"/>
      <c r="I406" s="50"/>
      <c r="J406" s="50"/>
      <c r="K406" s="50"/>
      <c r="L406" s="50"/>
      <c r="M406" s="50"/>
      <c r="N406" s="50"/>
      <c r="O406" s="47"/>
      <c r="P406" s="47"/>
      <c r="Q406" s="47" t="s">
        <v>1463</v>
      </c>
      <c r="R406" s="47" t="s">
        <v>1463</v>
      </c>
      <c r="S406" s="43"/>
      <c r="T406" s="47"/>
    </row>
    <row r="407" spans="1:20" ht="26.45">
      <c r="A407" s="44" t="s">
        <v>178</v>
      </c>
      <c r="B407" s="44" t="s">
        <v>3708</v>
      </c>
      <c r="C407" s="45" t="s">
        <v>774</v>
      </c>
      <c r="D407" s="44" t="s">
        <v>1434</v>
      </c>
      <c r="E407" s="44" t="s">
        <v>1481</v>
      </c>
      <c r="F407" s="44"/>
      <c r="G407" s="44" t="s">
        <v>1466</v>
      </c>
      <c r="H407" s="44" t="s">
        <v>3709</v>
      </c>
      <c r="I407" s="46" t="s">
        <v>3710</v>
      </c>
      <c r="J407" s="46" t="s">
        <v>3711</v>
      </c>
      <c r="K407" s="46" t="s">
        <v>3712</v>
      </c>
      <c r="L407" s="46" t="s">
        <v>1474</v>
      </c>
      <c r="M407" s="46" t="s">
        <v>3713</v>
      </c>
      <c r="N407" s="46" t="s">
        <v>1531</v>
      </c>
      <c r="O407" s="44" t="s">
        <v>3714</v>
      </c>
      <c r="P407" s="44" t="s">
        <v>3715</v>
      </c>
      <c r="Q407" s="44" t="s">
        <v>1463</v>
      </c>
      <c r="R407" s="44" t="s">
        <v>1463</v>
      </c>
      <c r="S407" s="43"/>
      <c r="T407" s="51">
        <v>45342</v>
      </c>
    </row>
    <row r="408" spans="1:20" ht="26.45">
      <c r="A408" s="47" t="s">
        <v>3716</v>
      </c>
      <c r="B408" s="47" t="s">
        <v>3717</v>
      </c>
      <c r="C408" s="48" t="s">
        <v>3718</v>
      </c>
      <c r="D408" s="47" t="s">
        <v>1432</v>
      </c>
      <c r="E408" s="47" t="s">
        <v>1481</v>
      </c>
      <c r="F408" s="47"/>
      <c r="G408" s="47" t="s">
        <v>1466</v>
      </c>
      <c r="H408" s="47" t="s">
        <v>3719</v>
      </c>
      <c r="I408" s="50" t="s">
        <v>3718</v>
      </c>
      <c r="J408" s="50" t="s">
        <v>3720</v>
      </c>
      <c r="K408" s="50" t="s">
        <v>3721</v>
      </c>
      <c r="L408" s="50" t="s">
        <v>1504</v>
      </c>
      <c r="M408" s="50" t="s">
        <v>3722</v>
      </c>
      <c r="N408" s="50" t="s">
        <v>1641</v>
      </c>
      <c r="O408" s="47" t="s">
        <v>3723</v>
      </c>
      <c r="P408" s="47"/>
      <c r="Q408" s="47" t="s">
        <v>1463</v>
      </c>
      <c r="R408" s="47" t="s">
        <v>1463</v>
      </c>
      <c r="S408" s="43"/>
      <c r="T408" s="49">
        <v>44820</v>
      </c>
    </row>
    <row r="409" spans="1:20" ht="26.45">
      <c r="A409" s="44" t="s">
        <v>3724</v>
      </c>
      <c r="B409" s="44" t="s">
        <v>3725</v>
      </c>
      <c r="C409" s="45" t="s">
        <v>3726</v>
      </c>
      <c r="D409" s="44" t="s">
        <v>1419</v>
      </c>
      <c r="E409" s="44" t="s">
        <v>1481</v>
      </c>
      <c r="F409" s="44"/>
      <c r="G409" s="44" t="s">
        <v>1461</v>
      </c>
      <c r="H409" s="44"/>
      <c r="I409" s="46" t="s">
        <v>3726</v>
      </c>
      <c r="J409" s="46"/>
      <c r="K409" s="46"/>
      <c r="L409" s="46"/>
      <c r="M409" s="46"/>
      <c r="N409" s="46"/>
      <c r="O409" s="44" t="s">
        <v>2262</v>
      </c>
      <c r="P409" s="44"/>
      <c r="Q409" s="44" t="s">
        <v>1463</v>
      </c>
      <c r="R409" s="44" t="s">
        <v>1463</v>
      </c>
      <c r="S409" s="43"/>
      <c r="T409" s="44"/>
    </row>
    <row r="410" spans="1:20">
      <c r="A410" s="47" t="s">
        <v>3727</v>
      </c>
      <c r="B410" s="47"/>
      <c r="C410" s="48" t="s">
        <v>3728</v>
      </c>
      <c r="D410" s="47" t="s">
        <v>1419</v>
      </c>
      <c r="E410" s="47" t="s">
        <v>1460</v>
      </c>
      <c r="F410" s="49">
        <v>41457.382442048598</v>
      </c>
      <c r="G410" s="47" t="s">
        <v>1466</v>
      </c>
      <c r="H410" s="47"/>
      <c r="I410" s="50"/>
      <c r="J410" s="50"/>
      <c r="K410" s="50"/>
      <c r="L410" s="50"/>
      <c r="M410" s="50"/>
      <c r="N410" s="50"/>
      <c r="O410" s="47"/>
      <c r="P410" s="47"/>
      <c r="Q410" s="47" t="s">
        <v>1463</v>
      </c>
      <c r="R410" s="47" t="s">
        <v>1463</v>
      </c>
      <c r="S410" s="43"/>
      <c r="T410" s="47"/>
    </row>
    <row r="411" spans="1:20" ht="26.45">
      <c r="A411" s="44" t="s">
        <v>179</v>
      </c>
      <c r="B411" s="44" t="s">
        <v>3729</v>
      </c>
      <c r="C411" s="45" t="s">
        <v>775</v>
      </c>
      <c r="D411" s="44" t="s">
        <v>1433</v>
      </c>
      <c r="E411" s="44" t="s">
        <v>1481</v>
      </c>
      <c r="F411" s="44"/>
      <c r="G411" s="44" t="s">
        <v>1466</v>
      </c>
      <c r="H411" s="44" t="s">
        <v>3730</v>
      </c>
      <c r="I411" s="46" t="s">
        <v>3731</v>
      </c>
      <c r="J411" s="46" t="s">
        <v>3732</v>
      </c>
      <c r="K411" s="46" t="s">
        <v>1414</v>
      </c>
      <c r="L411" s="46" t="s">
        <v>1504</v>
      </c>
      <c r="M411" s="46" t="s">
        <v>3733</v>
      </c>
      <c r="N411" s="46" t="s">
        <v>1641</v>
      </c>
      <c r="O411" s="44" t="s">
        <v>3734</v>
      </c>
      <c r="P411" s="44" t="s">
        <v>3735</v>
      </c>
      <c r="Q411" s="44" t="s">
        <v>1463</v>
      </c>
      <c r="R411" s="44" t="s">
        <v>1463</v>
      </c>
      <c r="S411" s="43"/>
      <c r="T411" s="51">
        <v>45315</v>
      </c>
    </row>
    <row r="412" spans="1:20" ht="26.45">
      <c r="A412" s="47" t="s">
        <v>180</v>
      </c>
      <c r="B412" s="47" t="s">
        <v>3736</v>
      </c>
      <c r="C412" s="48" t="s">
        <v>776</v>
      </c>
      <c r="D412" s="47" t="s">
        <v>1428</v>
      </c>
      <c r="E412" s="47" t="s">
        <v>1481</v>
      </c>
      <c r="F412" s="47"/>
      <c r="G412" s="47" t="s">
        <v>1687</v>
      </c>
      <c r="H412" s="47" t="s">
        <v>3737</v>
      </c>
      <c r="I412" s="50" t="s">
        <v>3738</v>
      </c>
      <c r="J412" s="50" t="s">
        <v>3739</v>
      </c>
      <c r="K412" s="50" t="s">
        <v>3740</v>
      </c>
      <c r="L412" s="50" t="s">
        <v>1474</v>
      </c>
      <c r="M412" s="50" t="s">
        <v>3741</v>
      </c>
      <c r="N412" s="50" t="s">
        <v>1525</v>
      </c>
      <c r="O412" s="47" t="s">
        <v>3742</v>
      </c>
      <c r="P412" s="47" t="s">
        <v>3743</v>
      </c>
      <c r="Q412" s="47" t="s">
        <v>1695</v>
      </c>
      <c r="R412" s="47" t="s">
        <v>1463</v>
      </c>
      <c r="S412" s="43"/>
      <c r="T412" s="49">
        <v>45558</v>
      </c>
    </row>
    <row r="413" spans="1:20" ht="26.45">
      <c r="A413" s="44" t="s">
        <v>181</v>
      </c>
      <c r="B413" s="44" t="s">
        <v>3744</v>
      </c>
      <c r="C413" s="45" t="s">
        <v>777</v>
      </c>
      <c r="D413" s="44" t="s">
        <v>1428</v>
      </c>
      <c r="E413" s="44" t="s">
        <v>1481</v>
      </c>
      <c r="F413" s="44"/>
      <c r="G413" s="44" t="s">
        <v>1687</v>
      </c>
      <c r="H413" s="44" t="s">
        <v>3745</v>
      </c>
      <c r="I413" s="46" t="s">
        <v>3746</v>
      </c>
      <c r="J413" s="46" t="s">
        <v>3747</v>
      </c>
      <c r="K413" s="46" t="s">
        <v>2018</v>
      </c>
      <c r="L413" s="46" t="s">
        <v>1474</v>
      </c>
      <c r="M413" s="46" t="s">
        <v>2019</v>
      </c>
      <c r="N413" s="46" t="s">
        <v>1495</v>
      </c>
      <c r="O413" s="44" t="s">
        <v>3748</v>
      </c>
      <c r="P413" s="44" t="s">
        <v>3749</v>
      </c>
      <c r="Q413" s="44" t="s">
        <v>1695</v>
      </c>
      <c r="R413" s="44" t="s">
        <v>1463</v>
      </c>
      <c r="S413" s="43"/>
      <c r="T413" s="51">
        <v>45582</v>
      </c>
    </row>
    <row r="414" spans="1:20">
      <c r="A414" s="47" t="s">
        <v>3750</v>
      </c>
      <c r="B414" s="47"/>
      <c r="C414" s="48" t="s">
        <v>3751</v>
      </c>
      <c r="D414" s="47" t="s">
        <v>1419</v>
      </c>
      <c r="E414" s="47" t="s">
        <v>1460</v>
      </c>
      <c r="F414" s="49">
        <v>41457.382442511604</v>
      </c>
      <c r="G414" s="47" t="s">
        <v>1466</v>
      </c>
      <c r="H414" s="47"/>
      <c r="I414" s="50"/>
      <c r="J414" s="50"/>
      <c r="K414" s="50"/>
      <c r="L414" s="50"/>
      <c r="M414" s="50"/>
      <c r="N414" s="50"/>
      <c r="O414" s="47"/>
      <c r="P414" s="47"/>
      <c r="Q414" s="47" t="s">
        <v>1463</v>
      </c>
      <c r="R414" s="47" t="s">
        <v>1463</v>
      </c>
      <c r="S414" s="43"/>
      <c r="T414" s="47"/>
    </row>
    <row r="415" spans="1:20">
      <c r="A415" s="44" t="s">
        <v>3752</v>
      </c>
      <c r="B415" s="44" t="s">
        <v>3753</v>
      </c>
      <c r="C415" s="45" t="s">
        <v>3754</v>
      </c>
      <c r="D415" s="44" t="s">
        <v>1419</v>
      </c>
      <c r="E415" s="44" t="s">
        <v>1481</v>
      </c>
      <c r="F415" s="44"/>
      <c r="G415" s="44" t="s">
        <v>1461</v>
      </c>
      <c r="H415" s="44"/>
      <c r="I415" s="46"/>
      <c r="J415" s="46"/>
      <c r="K415" s="46"/>
      <c r="L415" s="46"/>
      <c r="M415" s="46"/>
      <c r="N415" s="46"/>
      <c r="O415" s="44"/>
      <c r="P415" s="44"/>
      <c r="Q415" s="44" t="s">
        <v>1463</v>
      </c>
      <c r="R415" s="44" t="s">
        <v>1463</v>
      </c>
      <c r="S415" s="43"/>
      <c r="T415" s="44"/>
    </row>
    <row r="416" spans="1:20">
      <c r="A416" s="47" t="s">
        <v>3755</v>
      </c>
      <c r="B416" s="47"/>
      <c r="C416" s="48" t="s">
        <v>3756</v>
      </c>
      <c r="D416" s="47" t="s">
        <v>1419</v>
      </c>
      <c r="E416" s="47" t="s">
        <v>1460</v>
      </c>
      <c r="F416" s="49">
        <v>41457.382442326401</v>
      </c>
      <c r="G416" s="47" t="s">
        <v>1466</v>
      </c>
      <c r="H416" s="47"/>
      <c r="I416" s="50"/>
      <c r="J416" s="50"/>
      <c r="K416" s="50"/>
      <c r="L416" s="50"/>
      <c r="M416" s="50"/>
      <c r="N416" s="50"/>
      <c r="O416" s="47"/>
      <c r="P416" s="47"/>
      <c r="Q416" s="47" t="s">
        <v>1463</v>
      </c>
      <c r="R416" s="47" t="s">
        <v>1463</v>
      </c>
      <c r="S416" s="43"/>
      <c r="T416" s="47"/>
    </row>
    <row r="417" spans="1:20" ht="26.45">
      <c r="A417" s="44" t="s">
        <v>182</v>
      </c>
      <c r="B417" s="44" t="s">
        <v>3757</v>
      </c>
      <c r="C417" s="45" t="s">
        <v>778</v>
      </c>
      <c r="D417" s="44" t="s">
        <v>1435</v>
      </c>
      <c r="E417" s="44" t="s">
        <v>1481</v>
      </c>
      <c r="F417" s="44"/>
      <c r="G417" s="44" t="s">
        <v>1687</v>
      </c>
      <c r="H417" s="44" t="s">
        <v>3758</v>
      </c>
      <c r="I417" s="46" t="s">
        <v>3759</v>
      </c>
      <c r="J417" s="46" t="s">
        <v>3760</v>
      </c>
      <c r="K417" s="46" t="s">
        <v>3761</v>
      </c>
      <c r="L417" s="46" t="s">
        <v>1504</v>
      </c>
      <c r="M417" s="46" t="s">
        <v>3762</v>
      </c>
      <c r="N417" s="46" t="s">
        <v>1525</v>
      </c>
      <c r="O417" s="44" t="s">
        <v>3763</v>
      </c>
      <c r="P417" s="44" t="s">
        <v>3764</v>
      </c>
      <c r="Q417" s="44" t="s">
        <v>1695</v>
      </c>
      <c r="R417" s="44" t="s">
        <v>1463</v>
      </c>
      <c r="S417" s="43"/>
      <c r="T417" s="51">
        <v>45343</v>
      </c>
    </row>
    <row r="418" spans="1:20" ht="26.45">
      <c r="A418" s="47" t="s">
        <v>183</v>
      </c>
      <c r="B418" s="47" t="s">
        <v>3765</v>
      </c>
      <c r="C418" s="48" t="s">
        <v>779</v>
      </c>
      <c r="D418" s="47" t="s">
        <v>1419</v>
      </c>
      <c r="E418" s="47" t="s">
        <v>1481</v>
      </c>
      <c r="F418" s="47"/>
      <c r="G418" s="47" t="s">
        <v>1687</v>
      </c>
      <c r="H418" s="47" t="s">
        <v>3766</v>
      </c>
      <c r="I418" s="50" t="s">
        <v>3767</v>
      </c>
      <c r="J418" s="50" t="s">
        <v>3768</v>
      </c>
      <c r="K418" s="50" t="s">
        <v>3769</v>
      </c>
      <c r="L418" s="50" t="s">
        <v>1504</v>
      </c>
      <c r="M418" s="50" t="s">
        <v>3770</v>
      </c>
      <c r="N418" s="50" t="s">
        <v>1729</v>
      </c>
      <c r="O418" s="47" t="s">
        <v>3771</v>
      </c>
      <c r="P418" s="47" t="s">
        <v>3772</v>
      </c>
      <c r="Q418" s="47" t="s">
        <v>1463</v>
      </c>
      <c r="R418" s="47" t="s">
        <v>1463</v>
      </c>
      <c r="S418" s="43"/>
      <c r="T418" s="49">
        <v>45608</v>
      </c>
    </row>
    <row r="419" spans="1:20">
      <c r="A419" s="44" t="s">
        <v>3773</v>
      </c>
      <c r="B419" s="44" t="s">
        <v>3774</v>
      </c>
      <c r="C419" s="45" t="s">
        <v>3775</v>
      </c>
      <c r="D419" s="44" t="s">
        <v>1419</v>
      </c>
      <c r="E419" s="44" t="s">
        <v>1481</v>
      </c>
      <c r="F419" s="44"/>
      <c r="G419" s="44" t="s">
        <v>1466</v>
      </c>
      <c r="H419" s="44" t="s">
        <v>3776</v>
      </c>
      <c r="I419" s="46" t="s">
        <v>3775</v>
      </c>
      <c r="J419" s="46"/>
      <c r="K419" s="46"/>
      <c r="L419" s="46"/>
      <c r="M419" s="46"/>
      <c r="N419" s="46"/>
      <c r="O419" s="44" t="s">
        <v>3777</v>
      </c>
      <c r="P419" s="44"/>
      <c r="Q419" s="44" t="s">
        <v>1463</v>
      </c>
      <c r="R419" s="44" t="s">
        <v>1463</v>
      </c>
      <c r="S419" s="43"/>
      <c r="T419" s="44"/>
    </row>
    <row r="420" spans="1:20">
      <c r="A420" s="47" t="s">
        <v>3778</v>
      </c>
      <c r="B420" s="47"/>
      <c r="C420" s="48" t="s">
        <v>3779</v>
      </c>
      <c r="D420" s="47" t="s">
        <v>1416</v>
      </c>
      <c r="E420" s="47" t="s">
        <v>1460</v>
      </c>
      <c r="F420" s="49">
        <v>41457.382443090297</v>
      </c>
      <c r="G420" s="47" t="s">
        <v>1466</v>
      </c>
      <c r="H420" s="47"/>
      <c r="I420" s="50"/>
      <c r="J420" s="50"/>
      <c r="K420" s="50"/>
      <c r="L420" s="50"/>
      <c r="M420" s="50"/>
      <c r="N420" s="50"/>
      <c r="O420" s="47"/>
      <c r="P420" s="47"/>
      <c r="Q420" s="47" t="s">
        <v>1463</v>
      </c>
      <c r="R420" s="47" t="s">
        <v>1463</v>
      </c>
      <c r="S420" s="43"/>
      <c r="T420" s="47"/>
    </row>
    <row r="421" spans="1:20">
      <c r="A421" s="44" t="s">
        <v>3780</v>
      </c>
      <c r="B421" s="44" t="s">
        <v>3781</v>
      </c>
      <c r="C421" s="45" t="s">
        <v>3782</v>
      </c>
      <c r="D421" s="44" t="s">
        <v>1431</v>
      </c>
      <c r="E421" s="44" t="s">
        <v>1481</v>
      </c>
      <c r="F421" s="44"/>
      <c r="G421" s="44" t="s">
        <v>1466</v>
      </c>
      <c r="H421" s="44" t="s">
        <v>3783</v>
      </c>
      <c r="I421" s="46" t="s">
        <v>3782</v>
      </c>
      <c r="J421" s="46"/>
      <c r="K421" s="46"/>
      <c r="L421" s="46"/>
      <c r="M421" s="46"/>
      <c r="N421" s="46"/>
      <c r="O421" s="44" t="s">
        <v>3784</v>
      </c>
      <c r="P421" s="44"/>
      <c r="Q421" s="44" t="s">
        <v>1463</v>
      </c>
      <c r="R421" s="44" t="s">
        <v>1463</v>
      </c>
      <c r="S421" s="43"/>
      <c r="T421" s="44"/>
    </row>
    <row r="422" spans="1:20" ht="26.45">
      <c r="A422" s="47" t="s">
        <v>184</v>
      </c>
      <c r="B422" s="47" t="s">
        <v>3785</v>
      </c>
      <c r="C422" s="48" t="s">
        <v>780</v>
      </c>
      <c r="D422" s="47" t="s">
        <v>1419</v>
      </c>
      <c r="E422" s="47" t="s">
        <v>1481</v>
      </c>
      <c r="F422" s="47"/>
      <c r="G422" s="47" t="s">
        <v>1466</v>
      </c>
      <c r="H422" s="47" t="s">
        <v>3786</v>
      </c>
      <c r="I422" s="50" t="s">
        <v>780</v>
      </c>
      <c r="J422" s="50" t="s">
        <v>3787</v>
      </c>
      <c r="K422" s="50" t="s">
        <v>1493</v>
      </c>
      <c r="L422" s="50" t="s">
        <v>1474</v>
      </c>
      <c r="M422" s="50" t="s">
        <v>3788</v>
      </c>
      <c r="N422" s="50" t="s">
        <v>1629</v>
      </c>
      <c r="O422" s="47" t="s">
        <v>3789</v>
      </c>
      <c r="P422" s="47" t="s">
        <v>3790</v>
      </c>
      <c r="Q422" s="47" t="s">
        <v>1463</v>
      </c>
      <c r="R422" s="47" t="s">
        <v>1463</v>
      </c>
      <c r="S422" s="43"/>
      <c r="T422" s="49">
        <v>45645</v>
      </c>
    </row>
    <row r="423" spans="1:20" ht="26.45">
      <c r="A423" s="44" t="s">
        <v>185</v>
      </c>
      <c r="B423" s="44" t="s">
        <v>3791</v>
      </c>
      <c r="C423" s="45" t="s">
        <v>781</v>
      </c>
      <c r="D423" s="44" t="s">
        <v>1419</v>
      </c>
      <c r="E423" s="44" t="s">
        <v>1481</v>
      </c>
      <c r="F423" s="44"/>
      <c r="G423" s="44" t="s">
        <v>1466</v>
      </c>
      <c r="H423" s="44" t="s">
        <v>3792</v>
      </c>
      <c r="I423" s="46" t="s">
        <v>781</v>
      </c>
      <c r="J423" s="46" t="s">
        <v>3793</v>
      </c>
      <c r="K423" s="46" t="s">
        <v>1493</v>
      </c>
      <c r="L423" s="46" t="s">
        <v>1474</v>
      </c>
      <c r="M423" s="46" t="s">
        <v>3794</v>
      </c>
      <c r="N423" s="46" t="s">
        <v>1629</v>
      </c>
      <c r="O423" s="44" t="s">
        <v>3795</v>
      </c>
      <c r="P423" s="44" t="s">
        <v>3796</v>
      </c>
      <c r="Q423" s="44" t="s">
        <v>1463</v>
      </c>
      <c r="R423" s="44" t="s">
        <v>1463</v>
      </c>
      <c r="S423" s="43"/>
      <c r="T423" s="51">
        <v>45643</v>
      </c>
    </row>
    <row r="424" spans="1:20" ht="26.45">
      <c r="A424" s="47" t="s">
        <v>186</v>
      </c>
      <c r="B424" s="47" t="s">
        <v>3797</v>
      </c>
      <c r="C424" s="48" t="s">
        <v>782</v>
      </c>
      <c r="D424" s="47" t="s">
        <v>1419</v>
      </c>
      <c r="E424" s="47" t="s">
        <v>1481</v>
      </c>
      <c r="F424" s="47"/>
      <c r="G424" s="47" t="s">
        <v>1466</v>
      </c>
      <c r="H424" s="47" t="s">
        <v>3798</v>
      </c>
      <c r="I424" s="50" t="s">
        <v>3799</v>
      </c>
      <c r="J424" s="50" t="s">
        <v>3800</v>
      </c>
      <c r="K424" s="50" t="s">
        <v>1503</v>
      </c>
      <c r="L424" s="50" t="s">
        <v>1474</v>
      </c>
      <c r="M424" s="50" t="s">
        <v>3801</v>
      </c>
      <c r="N424" s="50" t="s">
        <v>1476</v>
      </c>
      <c r="O424" s="47" t="s">
        <v>3802</v>
      </c>
      <c r="P424" s="47" t="s">
        <v>3803</v>
      </c>
      <c r="Q424" s="47" t="s">
        <v>1463</v>
      </c>
      <c r="R424" s="47" t="s">
        <v>1463</v>
      </c>
      <c r="S424" s="43"/>
      <c r="T424" s="49">
        <v>45643</v>
      </c>
    </row>
    <row r="425" spans="1:20" ht="26.45">
      <c r="A425" s="44" t="s">
        <v>3804</v>
      </c>
      <c r="B425" s="44" t="s">
        <v>3805</v>
      </c>
      <c r="C425" s="45" t="s">
        <v>3806</v>
      </c>
      <c r="D425" s="44" t="s">
        <v>1435</v>
      </c>
      <c r="E425" s="44" t="s">
        <v>1481</v>
      </c>
      <c r="F425" s="44"/>
      <c r="G425" s="44" t="s">
        <v>1687</v>
      </c>
      <c r="H425" s="44"/>
      <c r="I425" s="46" t="s">
        <v>2656</v>
      </c>
      <c r="J425" s="46" t="s">
        <v>3807</v>
      </c>
      <c r="K425" s="46" t="s">
        <v>2658</v>
      </c>
      <c r="L425" s="46" t="s">
        <v>3139</v>
      </c>
      <c r="M425" s="46" t="s">
        <v>2659</v>
      </c>
      <c r="N425" s="46" t="s">
        <v>1641</v>
      </c>
      <c r="O425" s="44" t="s">
        <v>2660</v>
      </c>
      <c r="P425" s="44"/>
      <c r="Q425" s="44" t="s">
        <v>1695</v>
      </c>
      <c r="R425" s="44" t="s">
        <v>1463</v>
      </c>
      <c r="S425" s="43"/>
      <c r="T425" s="51">
        <v>44344</v>
      </c>
    </row>
    <row r="426" spans="1:20" ht="26.45">
      <c r="A426" s="47" t="s">
        <v>187</v>
      </c>
      <c r="B426" s="47" t="s">
        <v>3808</v>
      </c>
      <c r="C426" s="48" t="s">
        <v>783</v>
      </c>
      <c r="D426" s="47" t="s">
        <v>1419</v>
      </c>
      <c r="E426" s="47" t="s">
        <v>1481</v>
      </c>
      <c r="F426" s="47"/>
      <c r="G426" s="47" t="s">
        <v>1466</v>
      </c>
      <c r="H426" s="47" t="s">
        <v>3809</v>
      </c>
      <c r="I426" s="50" t="s">
        <v>783</v>
      </c>
      <c r="J426" s="50" t="s">
        <v>3810</v>
      </c>
      <c r="K426" s="50" t="s">
        <v>1493</v>
      </c>
      <c r="L426" s="50" t="s">
        <v>1474</v>
      </c>
      <c r="M426" s="50" t="s">
        <v>3811</v>
      </c>
      <c r="N426" s="50" t="s">
        <v>1629</v>
      </c>
      <c r="O426" s="47" t="s">
        <v>3812</v>
      </c>
      <c r="P426" s="47" t="s">
        <v>3813</v>
      </c>
      <c r="Q426" s="47" t="s">
        <v>1463</v>
      </c>
      <c r="R426" s="47" t="s">
        <v>1463</v>
      </c>
      <c r="S426" s="43"/>
      <c r="T426" s="49">
        <v>45643</v>
      </c>
    </row>
    <row r="427" spans="1:20" ht="26.45">
      <c r="A427" s="44" t="s">
        <v>188</v>
      </c>
      <c r="B427" s="44" t="s">
        <v>3814</v>
      </c>
      <c r="C427" s="45" t="s">
        <v>784</v>
      </c>
      <c r="D427" s="44" t="s">
        <v>1419</v>
      </c>
      <c r="E427" s="44" t="s">
        <v>1481</v>
      </c>
      <c r="F427" s="44"/>
      <c r="G427" s="44" t="s">
        <v>1466</v>
      </c>
      <c r="H427" s="44" t="s">
        <v>3815</v>
      </c>
      <c r="I427" s="46" t="s">
        <v>3816</v>
      </c>
      <c r="J427" s="46" t="s">
        <v>3817</v>
      </c>
      <c r="K427" s="46" t="s">
        <v>1503</v>
      </c>
      <c r="L427" s="46" t="s">
        <v>1474</v>
      </c>
      <c r="M427" s="46" t="s">
        <v>3818</v>
      </c>
      <c r="N427" s="46" t="s">
        <v>1744</v>
      </c>
      <c r="O427" s="44" t="s">
        <v>3819</v>
      </c>
      <c r="P427" s="44" t="s">
        <v>3820</v>
      </c>
      <c r="Q427" s="44" t="s">
        <v>1463</v>
      </c>
      <c r="R427" s="44" t="s">
        <v>1463</v>
      </c>
      <c r="S427" s="43"/>
      <c r="T427" s="51">
        <v>45468</v>
      </c>
    </row>
    <row r="428" spans="1:20">
      <c r="A428" s="47" t="s">
        <v>3821</v>
      </c>
      <c r="B428" s="47" t="s">
        <v>3822</v>
      </c>
      <c r="C428" s="48" t="s">
        <v>3823</v>
      </c>
      <c r="D428" s="47" t="s">
        <v>1419</v>
      </c>
      <c r="E428" s="47" t="s">
        <v>1460</v>
      </c>
      <c r="F428" s="49">
        <v>42452.716400497702</v>
      </c>
      <c r="G428" s="47" t="s">
        <v>1466</v>
      </c>
      <c r="H428" s="47"/>
      <c r="I428" s="50" t="s">
        <v>3823</v>
      </c>
      <c r="J428" s="50"/>
      <c r="K428" s="50"/>
      <c r="L428" s="50"/>
      <c r="M428" s="50"/>
      <c r="N428" s="50"/>
      <c r="O428" s="47"/>
      <c r="P428" s="47"/>
      <c r="Q428" s="47" t="s">
        <v>1463</v>
      </c>
      <c r="R428" s="47" t="s">
        <v>1463</v>
      </c>
      <c r="S428" s="43"/>
      <c r="T428" s="47"/>
    </row>
    <row r="429" spans="1:20" ht="26.45">
      <c r="A429" s="44" t="s">
        <v>3824</v>
      </c>
      <c r="B429" s="44" t="s">
        <v>3825</v>
      </c>
      <c r="C429" s="45" t="s">
        <v>3826</v>
      </c>
      <c r="D429" s="44" t="s">
        <v>1419</v>
      </c>
      <c r="E429" s="44" t="s">
        <v>1481</v>
      </c>
      <c r="F429" s="44"/>
      <c r="G429" s="44" t="s">
        <v>1687</v>
      </c>
      <c r="H429" s="44" t="s">
        <v>3827</v>
      </c>
      <c r="I429" s="46" t="s">
        <v>3828</v>
      </c>
      <c r="J429" s="46" t="s">
        <v>3829</v>
      </c>
      <c r="K429" s="46" t="s">
        <v>1503</v>
      </c>
      <c r="L429" s="46" t="s">
        <v>1474</v>
      </c>
      <c r="M429" s="46" t="s">
        <v>3830</v>
      </c>
      <c r="N429" s="46" t="s">
        <v>1476</v>
      </c>
      <c r="O429" s="44" t="s">
        <v>3831</v>
      </c>
      <c r="P429" s="44" t="s">
        <v>3832</v>
      </c>
      <c r="Q429" s="44" t="s">
        <v>1695</v>
      </c>
      <c r="R429" s="44" t="s">
        <v>1463</v>
      </c>
      <c r="S429" s="43"/>
      <c r="T429" s="51">
        <v>45376</v>
      </c>
    </row>
    <row r="430" spans="1:20" ht="26.45">
      <c r="A430" s="47" t="s">
        <v>3833</v>
      </c>
      <c r="B430" s="47"/>
      <c r="C430" s="48" t="s">
        <v>3834</v>
      </c>
      <c r="D430" s="47" t="s">
        <v>1419</v>
      </c>
      <c r="E430" s="47" t="s">
        <v>1460</v>
      </c>
      <c r="F430" s="49">
        <v>41457.382442673603</v>
      </c>
      <c r="G430" s="47" t="s">
        <v>1466</v>
      </c>
      <c r="H430" s="47"/>
      <c r="I430" s="50"/>
      <c r="J430" s="50"/>
      <c r="K430" s="50"/>
      <c r="L430" s="50"/>
      <c r="M430" s="50"/>
      <c r="N430" s="50"/>
      <c r="O430" s="47"/>
      <c r="P430" s="47"/>
      <c r="Q430" s="47" t="s">
        <v>1463</v>
      </c>
      <c r="R430" s="47" t="s">
        <v>1463</v>
      </c>
      <c r="S430" s="43"/>
      <c r="T430" s="47"/>
    </row>
    <row r="431" spans="1:20">
      <c r="A431" s="44" t="s">
        <v>3835</v>
      </c>
      <c r="B431" s="44" t="s">
        <v>3836</v>
      </c>
      <c r="C431" s="45" t="s">
        <v>3837</v>
      </c>
      <c r="D431" s="44" t="s">
        <v>1414</v>
      </c>
      <c r="E431" s="44" t="s">
        <v>1481</v>
      </c>
      <c r="F431" s="44"/>
      <c r="G431" s="44" t="s">
        <v>1466</v>
      </c>
      <c r="H431" s="44"/>
      <c r="I431" s="46" t="s">
        <v>3838</v>
      </c>
      <c r="J431" s="46" t="s">
        <v>3839</v>
      </c>
      <c r="K431" s="46" t="s">
        <v>1484</v>
      </c>
      <c r="L431" s="46" t="s">
        <v>1504</v>
      </c>
      <c r="M431" s="46" t="s">
        <v>3840</v>
      </c>
      <c r="N431" s="46" t="s">
        <v>1525</v>
      </c>
      <c r="O431" s="44" t="s">
        <v>3841</v>
      </c>
      <c r="P431" s="44"/>
      <c r="Q431" s="44" t="s">
        <v>1463</v>
      </c>
      <c r="R431" s="44" t="s">
        <v>1463</v>
      </c>
      <c r="S431" s="43"/>
      <c r="T431" s="51">
        <v>45380</v>
      </c>
    </row>
    <row r="432" spans="1:20" ht="26.45">
      <c r="A432" s="47" t="s">
        <v>3842</v>
      </c>
      <c r="B432" s="47" t="s">
        <v>3843</v>
      </c>
      <c r="C432" s="48" t="s">
        <v>3844</v>
      </c>
      <c r="D432" s="47" t="s">
        <v>1419</v>
      </c>
      <c r="E432" s="47" t="s">
        <v>1481</v>
      </c>
      <c r="F432" s="47"/>
      <c r="G432" s="47" t="s">
        <v>1490</v>
      </c>
      <c r="H432" s="47" t="s">
        <v>3845</v>
      </c>
      <c r="I432" s="50" t="s">
        <v>3844</v>
      </c>
      <c r="J432" s="50" t="s">
        <v>3846</v>
      </c>
      <c r="K432" s="50" t="s">
        <v>1541</v>
      </c>
      <c r="L432" s="50" t="s">
        <v>1504</v>
      </c>
      <c r="M432" s="50" t="s">
        <v>3847</v>
      </c>
      <c r="N432" s="50" t="s">
        <v>1516</v>
      </c>
      <c r="O432" s="47" t="s">
        <v>3848</v>
      </c>
      <c r="P432" s="47"/>
      <c r="Q432" s="47" t="s">
        <v>1463</v>
      </c>
      <c r="R432" s="47" t="s">
        <v>1463</v>
      </c>
      <c r="S432" s="43"/>
      <c r="T432" s="49">
        <v>42856</v>
      </c>
    </row>
    <row r="433" spans="1:20">
      <c r="A433" s="44" t="s">
        <v>3849</v>
      </c>
      <c r="B433" s="44"/>
      <c r="C433" s="45" t="s">
        <v>3850</v>
      </c>
      <c r="D433" s="44" t="s">
        <v>1419</v>
      </c>
      <c r="E433" s="44" t="s">
        <v>1460</v>
      </c>
      <c r="F433" s="51">
        <v>41880.774004016203</v>
      </c>
      <c r="G433" s="44" t="s">
        <v>1466</v>
      </c>
      <c r="H433" s="44"/>
      <c r="I433" s="46"/>
      <c r="J433" s="46"/>
      <c r="K433" s="46"/>
      <c r="L433" s="46"/>
      <c r="M433" s="46"/>
      <c r="N433" s="46"/>
      <c r="O433" s="44"/>
      <c r="P433" s="44"/>
      <c r="Q433" s="44" t="s">
        <v>1463</v>
      </c>
      <c r="R433" s="44" t="s">
        <v>1463</v>
      </c>
      <c r="S433" s="43"/>
      <c r="T433" s="44"/>
    </row>
    <row r="434" spans="1:20" ht="26.45">
      <c r="A434" s="47" t="s">
        <v>189</v>
      </c>
      <c r="B434" s="47" t="s">
        <v>3851</v>
      </c>
      <c r="C434" s="48" t="s">
        <v>785</v>
      </c>
      <c r="D434" s="47" t="s">
        <v>1414</v>
      </c>
      <c r="E434" s="47" t="s">
        <v>1481</v>
      </c>
      <c r="F434" s="47"/>
      <c r="G434" s="47" t="s">
        <v>1466</v>
      </c>
      <c r="H434" s="47" t="s">
        <v>3852</v>
      </c>
      <c r="I434" s="50" t="s">
        <v>3853</v>
      </c>
      <c r="J434" s="50" t="s">
        <v>3854</v>
      </c>
      <c r="K434" s="50" t="s">
        <v>1484</v>
      </c>
      <c r="L434" s="50" t="s">
        <v>1474</v>
      </c>
      <c r="M434" s="50" t="s">
        <v>3855</v>
      </c>
      <c r="N434" s="50" t="s">
        <v>1495</v>
      </c>
      <c r="O434" s="47" t="s">
        <v>3856</v>
      </c>
      <c r="P434" s="47" t="s">
        <v>3857</v>
      </c>
      <c r="Q434" s="47" t="s">
        <v>1463</v>
      </c>
      <c r="R434" s="47" t="s">
        <v>1463</v>
      </c>
      <c r="S434" s="43"/>
      <c r="T434" s="49">
        <v>45579</v>
      </c>
    </row>
    <row r="435" spans="1:20" ht="26.45">
      <c r="A435" s="44" t="s">
        <v>786</v>
      </c>
      <c r="B435" s="44" t="s">
        <v>3858</v>
      </c>
      <c r="C435" s="45" t="s">
        <v>787</v>
      </c>
      <c r="D435" s="44" t="s">
        <v>1414</v>
      </c>
      <c r="E435" s="44" t="s">
        <v>1481</v>
      </c>
      <c r="F435" s="44"/>
      <c r="G435" s="44" t="s">
        <v>1466</v>
      </c>
      <c r="H435" s="44" t="s">
        <v>3859</v>
      </c>
      <c r="I435" s="46" t="s">
        <v>3860</v>
      </c>
      <c r="J435" s="46" t="s">
        <v>3861</v>
      </c>
      <c r="K435" s="46" t="s">
        <v>2764</v>
      </c>
      <c r="L435" s="46" t="s">
        <v>1504</v>
      </c>
      <c r="M435" s="46" t="s">
        <v>3862</v>
      </c>
      <c r="N435" s="46" t="s">
        <v>1495</v>
      </c>
      <c r="O435" s="44" t="s">
        <v>3863</v>
      </c>
      <c r="P435" s="44" t="s">
        <v>3864</v>
      </c>
      <c r="Q435" s="44" t="s">
        <v>1463</v>
      </c>
      <c r="R435" s="44" t="s">
        <v>1463</v>
      </c>
      <c r="S435" s="43"/>
      <c r="T435" s="51">
        <v>45399</v>
      </c>
    </row>
    <row r="436" spans="1:20" ht="26.45">
      <c r="A436" s="47" t="s">
        <v>190</v>
      </c>
      <c r="B436" s="47" t="s">
        <v>3865</v>
      </c>
      <c r="C436" s="48" t="s">
        <v>788</v>
      </c>
      <c r="D436" s="47" t="s">
        <v>1419</v>
      </c>
      <c r="E436" s="47" t="s">
        <v>1481</v>
      </c>
      <c r="F436" s="47"/>
      <c r="G436" s="47" t="s">
        <v>1466</v>
      </c>
      <c r="H436" s="47" t="s">
        <v>3866</v>
      </c>
      <c r="I436" s="50" t="s">
        <v>788</v>
      </c>
      <c r="J436" s="50" t="s">
        <v>3867</v>
      </c>
      <c r="K436" s="50" t="s">
        <v>2829</v>
      </c>
      <c r="L436" s="50" t="s">
        <v>1504</v>
      </c>
      <c r="M436" s="50" t="s">
        <v>3868</v>
      </c>
      <c r="N436" s="50" t="s">
        <v>1729</v>
      </c>
      <c r="O436" s="47" t="s">
        <v>3869</v>
      </c>
      <c r="P436" s="47" t="s">
        <v>3870</v>
      </c>
      <c r="Q436" s="47" t="s">
        <v>1463</v>
      </c>
      <c r="R436" s="47" t="s">
        <v>1463</v>
      </c>
      <c r="S436" s="43"/>
      <c r="T436" s="49">
        <v>45334</v>
      </c>
    </row>
    <row r="437" spans="1:20">
      <c r="A437" s="44" t="s">
        <v>3871</v>
      </c>
      <c r="B437" s="44"/>
      <c r="C437" s="45" t="s">
        <v>3872</v>
      </c>
      <c r="D437" s="44" t="s">
        <v>1424</v>
      </c>
      <c r="E437" s="44" t="s">
        <v>1460</v>
      </c>
      <c r="F437" s="51">
        <v>41457.382441238398</v>
      </c>
      <c r="G437" s="44" t="s">
        <v>1466</v>
      </c>
      <c r="H437" s="44"/>
      <c r="I437" s="46"/>
      <c r="J437" s="46"/>
      <c r="K437" s="46"/>
      <c r="L437" s="46"/>
      <c r="M437" s="46"/>
      <c r="N437" s="46"/>
      <c r="O437" s="44"/>
      <c r="P437" s="44"/>
      <c r="Q437" s="44" t="s">
        <v>1463</v>
      </c>
      <c r="R437" s="44" t="s">
        <v>1463</v>
      </c>
      <c r="S437" s="43"/>
      <c r="T437" s="44"/>
    </row>
    <row r="438" spans="1:20" ht="26.45">
      <c r="A438" s="47" t="s">
        <v>191</v>
      </c>
      <c r="B438" s="47" t="s">
        <v>3873</v>
      </c>
      <c r="C438" s="48" t="s">
        <v>789</v>
      </c>
      <c r="D438" s="47" t="s">
        <v>1420</v>
      </c>
      <c r="E438" s="47" t="s">
        <v>1481</v>
      </c>
      <c r="F438" s="47"/>
      <c r="G438" s="47" t="s">
        <v>1466</v>
      </c>
      <c r="H438" s="47" t="s">
        <v>3874</v>
      </c>
      <c r="I438" s="50" t="s">
        <v>3875</v>
      </c>
      <c r="J438" s="50" t="s">
        <v>3876</v>
      </c>
      <c r="K438" s="50" t="s">
        <v>3877</v>
      </c>
      <c r="L438" s="50" t="s">
        <v>1474</v>
      </c>
      <c r="M438" s="50" t="s">
        <v>3878</v>
      </c>
      <c r="N438" s="50" t="s">
        <v>1641</v>
      </c>
      <c r="O438" s="47" t="s">
        <v>3879</v>
      </c>
      <c r="P438" s="47" t="s">
        <v>3880</v>
      </c>
      <c r="Q438" s="47" t="s">
        <v>1463</v>
      </c>
      <c r="R438" s="47" t="s">
        <v>1463</v>
      </c>
      <c r="S438" s="43"/>
      <c r="T438" s="49">
        <v>45365</v>
      </c>
    </row>
    <row r="439" spans="1:20">
      <c r="A439" s="44" t="s">
        <v>3881</v>
      </c>
      <c r="B439" s="44" t="s">
        <v>3882</v>
      </c>
      <c r="C439" s="45" t="s">
        <v>3883</v>
      </c>
      <c r="D439" s="44" t="s">
        <v>1419</v>
      </c>
      <c r="E439" s="44" t="s">
        <v>1460</v>
      </c>
      <c r="F439" s="51">
        <v>42425.760775810202</v>
      </c>
      <c r="G439" s="44" t="s">
        <v>1466</v>
      </c>
      <c r="H439" s="44" t="s">
        <v>3884</v>
      </c>
      <c r="I439" s="46" t="s">
        <v>3883</v>
      </c>
      <c r="J439" s="46"/>
      <c r="K439" s="46"/>
      <c r="L439" s="46"/>
      <c r="M439" s="46"/>
      <c r="N439" s="46"/>
      <c r="O439" s="44" t="s">
        <v>3885</v>
      </c>
      <c r="P439" s="44"/>
      <c r="Q439" s="44" t="s">
        <v>1463</v>
      </c>
      <c r="R439" s="44" t="s">
        <v>1463</v>
      </c>
      <c r="S439" s="43"/>
      <c r="T439" s="44"/>
    </row>
    <row r="440" spans="1:20" ht="26.45">
      <c r="A440" s="47" t="s">
        <v>790</v>
      </c>
      <c r="B440" s="47" t="s">
        <v>3886</v>
      </c>
      <c r="C440" s="48" t="s">
        <v>791</v>
      </c>
      <c r="D440" s="47" t="s">
        <v>1419</v>
      </c>
      <c r="E440" s="47" t="s">
        <v>1481</v>
      </c>
      <c r="F440" s="47"/>
      <c r="G440" s="47" t="s">
        <v>1466</v>
      </c>
      <c r="H440" s="47" t="s">
        <v>3887</v>
      </c>
      <c r="I440" s="50" t="s">
        <v>3888</v>
      </c>
      <c r="J440" s="50" t="s">
        <v>3889</v>
      </c>
      <c r="K440" s="50" t="s">
        <v>1493</v>
      </c>
      <c r="L440" s="50" t="s">
        <v>1474</v>
      </c>
      <c r="M440" s="50" t="s">
        <v>3890</v>
      </c>
      <c r="N440" s="50" t="s">
        <v>1525</v>
      </c>
      <c r="O440" s="47" t="s">
        <v>3891</v>
      </c>
      <c r="P440" s="47" t="s">
        <v>3892</v>
      </c>
      <c r="Q440" s="47" t="s">
        <v>1463</v>
      </c>
      <c r="R440" s="47" t="s">
        <v>1463</v>
      </c>
      <c r="S440" s="43"/>
      <c r="T440" s="49">
        <v>45366</v>
      </c>
    </row>
    <row r="441" spans="1:20" ht="26.45">
      <c r="A441" s="44" t="s">
        <v>192</v>
      </c>
      <c r="B441" s="44" t="s">
        <v>3893</v>
      </c>
      <c r="C441" s="45" t="s">
        <v>792</v>
      </c>
      <c r="D441" s="44" t="s">
        <v>1419</v>
      </c>
      <c r="E441" s="44" t="s">
        <v>1481</v>
      </c>
      <c r="F441" s="44"/>
      <c r="G441" s="44" t="s">
        <v>1466</v>
      </c>
      <c r="H441" s="44" t="s">
        <v>3894</v>
      </c>
      <c r="I441" s="46" t="s">
        <v>3883</v>
      </c>
      <c r="J441" s="46" t="s">
        <v>3895</v>
      </c>
      <c r="K441" s="46" t="s">
        <v>1503</v>
      </c>
      <c r="L441" s="46" t="s">
        <v>1474</v>
      </c>
      <c r="M441" s="46" t="s">
        <v>3896</v>
      </c>
      <c r="N441" s="46" t="s">
        <v>1744</v>
      </c>
      <c r="O441" s="44" t="s">
        <v>3897</v>
      </c>
      <c r="P441" s="44" t="s">
        <v>3898</v>
      </c>
      <c r="Q441" s="44" t="s">
        <v>1463</v>
      </c>
      <c r="R441" s="44" t="s">
        <v>1463</v>
      </c>
      <c r="S441" s="43"/>
      <c r="T441" s="51">
        <v>45366</v>
      </c>
    </row>
    <row r="442" spans="1:20" ht="26.45">
      <c r="A442" s="47" t="s">
        <v>193</v>
      </c>
      <c r="B442" s="47" t="s">
        <v>3899</v>
      </c>
      <c r="C442" s="48" t="s">
        <v>793</v>
      </c>
      <c r="D442" s="47" t="s">
        <v>1419</v>
      </c>
      <c r="E442" s="47" t="s">
        <v>1481</v>
      </c>
      <c r="F442" s="47"/>
      <c r="G442" s="47" t="s">
        <v>1466</v>
      </c>
      <c r="H442" s="47" t="s">
        <v>3900</v>
      </c>
      <c r="I442" s="50" t="s">
        <v>3883</v>
      </c>
      <c r="J442" s="50" t="s">
        <v>3901</v>
      </c>
      <c r="K442" s="50" t="s">
        <v>1493</v>
      </c>
      <c r="L442" s="50" t="s">
        <v>1474</v>
      </c>
      <c r="M442" s="50" t="s">
        <v>3902</v>
      </c>
      <c r="N442" s="50" t="s">
        <v>1525</v>
      </c>
      <c r="O442" s="47" t="s">
        <v>3903</v>
      </c>
      <c r="P442" s="47" t="s">
        <v>3904</v>
      </c>
      <c r="Q442" s="47" t="s">
        <v>1463</v>
      </c>
      <c r="R442" s="47" t="s">
        <v>1463</v>
      </c>
      <c r="S442" s="43"/>
      <c r="T442" s="49">
        <v>45366</v>
      </c>
    </row>
    <row r="443" spans="1:20" ht="26.45">
      <c r="A443" s="44" t="s">
        <v>194</v>
      </c>
      <c r="B443" s="44" t="s">
        <v>3905</v>
      </c>
      <c r="C443" s="45" t="s">
        <v>794</v>
      </c>
      <c r="D443" s="44" t="s">
        <v>1419</v>
      </c>
      <c r="E443" s="44" t="s">
        <v>1481</v>
      </c>
      <c r="F443" s="44"/>
      <c r="G443" s="44" t="s">
        <v>1466</v>
      </c>
      <c r="H443" s="44" t="s">
        <v>3906</v>
      </c>
      <c r="I443" s="46" t="s">
        <v>3883</v>
      </c>
      <c r="J443" s="46" t="s">
        <v>3907</v>
      </c>
      <c r="K443" s="46" t="s">
        <v>3908</v>
      </c>
      <c r="L443" s="46" t="s">
        <v>1474</v>
      </c>
      <c r="M443" s="46" t="s">
        <v>3909</v>
      </c>
      <c r="N443" s="46" t="s">
        <v>1516</v>
      </c>
      <c r="O443" s="44" t="s">
        <v>3910</v>
      </c>
      <c r="P443" s="44" t="s">
        <v>3911</v>
      </c>
      <c r="Q443" s="44" t="s">
        <v>1463</v>
      </c>
      <c r="R443" s="44" t="s">
        <v>1463</v>
      </c>
      <c r="S443" s="43"/>
      <c r="T443" s="51">
        <v>45366</v>
      </c>
    </row>
    <row r="444" spans="1:20" ht="26.45">
      <c r="A444" s="47" t="s">
        <v>195</v>
      </c>
      <c r="B444" s="47" t="s">
        <v>3912</v>
      </c>
      <c r="C444" s="48" t="s">
        <v>795</v>
      </c>
      <c r="D444" s="47" t="s">
        <v>1419</v>
      </c>
      <c r="E444" s="47" t="s">
        <v>1481</v>
      </c>
      <c r="F444" s="47"/>
      <c r="G444" s="47" t="s">
        <v>1466</v>
      </c>
      <c r="H444" s="47" t="s">
        <v>3913</v>
      </c>
      <c r="I444" s="50" t="s">
        <v>3883</v>
      </c>
      <c r="J444" s="50" t="s">
        <v>3914</v>
      </c>
      <c r="K444" s="50" t="s">
        <v>1503</v>
      </c>
      <c r="L444" s="50" t="s">
        <v>1474</v>
      </c>
      <c r="M444" s="50" t="s">
        <v>3915</v>
      </c>
      <c r="N444" s="50" t="s">
        <v>1744</v>
      </c>
      <c r="O444" s="47" t="s">
        <v>3916</v>
      </c>
      <c r="P444" s="47" t="s">
        <v>3917</v>
      </c>
      <c r="Q444" s="47" t="s">
        <v>1463</v>
      </c>
      <c r="R444" s="47" t="s">
        <v>1463</v>
      </c>
      <c r="S444" s="43"/>
      <c r="T444" s="49">
        <v>45366</v>
      </c>
    </row>
    <row r="445" spans="1:20" ht="26.45">
      <c r="A445" s="44" t="s">
        <v>196</v>
      </c>
      <c r="B445" s="44" t="s">
        <v>3918</v>
      </c>
      <c r="C445" s="45" t="s">
        <v>796</v>
      </c>
      <c r="D445" s="44" t="s">
        <v>1419</v>
      </c>
      <c r="E445" s="44" t="s">
        <v>1481</v>
      </c>
      <c r="F445" s="44"/>
      <c r="G445" s="44" t="s">
        <v>1466</v>
      </c>
      <c r="H445" s="44" t="s">
        <v>3919</v>
      </c>
      <c r="I445" s="46" t="s">
        <v>3920</v>
      </c>
      <c r="J445" s="46" t="s">
        <v>3921</v>
      </c>
      <c r="K445" s="46" t="s">
        <v>1419</v>
      </c>
      <c r="L445" s="46" t="s">
        <v>1474</v>
      </c>
      <c r="M445" s="46" t="s">
        <v>3922</v>
      </c>
      <c r="N445" s="46" t="s">
        <v>1641</v>
      </c>
      <c r="O445" s="44" t="s">
        <v>3923</v>
      </c>
      <c r="P445" s="44" t="s">
        <v>3924</v>
      </c>
      <c r="Q445" s="44" t="s">
        <v>1463</v>
      </c>
      <c r="R445" s="44" t="s">
        <v>1463</v>
      </c>
      <c r="S445" s="43"/>
      <c r="T445" s="51">
        <v>45366</v>
      </c>
    </row>
    <row r="446" spans="1:20" ht="26.45">
      <c r="A446" s="47" t="s">
        <v>197</v>
      </c>
      <c r="B446" s="47" t="s">
        <v>3925</v>
      </c>
      <c r="C446" s="48" t="s">
        <v>797</v>
      </c>
      <c r="D446" s="47" t="s">
        <v>1420</v>
      </c>
      <c r="E446" s="47" t="s">
        <v>1481</v>
      </c>
      <c r="F446" s="47"/>
      <c r="G446" s="47" t="s">
        <v>1466</v>
      </c>
      <c r="H446" s="47" t="s">
        <v>3926</v>
      </c>
      <c r="I446" s="50" t="s">
        <v>3927</v>
      </c>
      <c r="J446" s="50" t="s">
        <v>3928</v>
      </c>
      <c r="K446" s="50" t="s">
        <v>1493</v>
      </c>
      <c r="L446" s="50" t="s">
        <v>1474</v>
      </c>
      <c r="M446" s="50" t="s">
        <v>3929</v>
      </c>
      <c r="N446" s="50" t="s">
        <v>1495</v>
      </c>
      <c r="O446" s="47" t="s">
        <v>3930</v>
      </c>
      <c r="P446" s="47" t="s">
        <v>3931</v>
      </c>
      <c r="Q446" s="47" t="s">
        <v>1463</v>
      </c>
      <c r="R446" s="47" t="s">
        <v>1463</v>
      </c>
      <c r="S446" s="43"/>
      <c r="T446" s="49">
        <v>45366</v>
      </c>
    </row>
    <row r="447" spans="1:20" ht="26.45">
      <c r="A447" s="44" t="s">
        <v>198</v>
      </c>
      <c r="B447" s="44" t="s">
        <v>3932</v>
      </c>
      <c r="C447" s="45" t="s">
        <v>798</v>
      </c>
      <c r="D447" s="44" t="s">
        <v>1419</v>
      </c>
      <c r="E447" s="44" t="s">
        <v>1481</v>
      </c>
      <c r="F447" s="44"/>
      <c r="G447" s="44" t="s">
        <v>1466</v>
      </c>
      <c r="H447" s="44" t="s">
        <v>3933</v>
      </c>
      <c r="I447" s="46" t="s">
        <v>3883</v>
      </c>
      <c r="J447" s="46" t="s">
        <v>3934</v>
      </c>
      <c r="K447" s="46" t="s">
        <v>1503</v>
      </c>
      <c r="L447" s="46" t="s">
        <v>1474</v>
      </c>
      <c r="M447" s="46" t="s">
        <v>3909</v>
      </c>
      <c r="N447" s="46" t="s">
        <v>1516</v>
      </c>
      <c r="O447" s="44" t="s">
        <v>3935</v>
      </c>
      <c r="P447" s="44" t="s">
        <v>3936</v>
      </c>
      <c r="Q447" s="44" t="s">
        <v>1463</v>
      </c>
      <c r="R447" s="44" t="s">
        <v>1463</v>
      </c>
      <c r="S447" s="43"/>
      <c r="T447" s="51">
        <v>45366</v>
      </c>
    </row>
    <row r="448" spans="1:20" ht="26.45">
      <c r="A448" s="47" t="s">
        <v>199</v>
      </c>
      <c r="B448" s="47" t="s">
        <v>3937</v>
      </c>
      <c r="C448" s="48" t="s">
        <v>799</v>
      </c>
      <c r="D448" s="47" t="s">
        <v>1419</v>
      </c>
      <c r="E448" s="47" t="s">
        <v>1481</v>
      </c>
      <c r="F448" s="47"/>
      <c r="G448" s="47" t="s">
        <v>1466</v>
      </c>
      <c r="H448" s="47" t="s">
        <v>3938</v>
      </c>
      <c r="I448" s="50" t="s">
        <v>3939</v>
      </c>
      <c r="J448" s="50" t="s">
        <v>3940</v>
      </c>
      <c r="K448" s="50" t="s">
        <v>1948</v>
      </c>
      <c r="L448" s="50" t="s">
        <v>1474</v>
      </c>
      <c r="M448" s="50" t="s">
        <v>3941</v>
      </c>
      <c r="N448" s="50" t="s">
        <v>1641</v>
      </c>
      <c r="O448" s="47" t="s">
        <v>3942</v>
      </c>
      <c r="P448" s="47" t="s">
        <v>3943</v>
      </c>
      <c r="Q448" s="47" t="s">
        <v>1463</v>
      </c>
      <c r="R448" s="47" t="s">
        <v>1463</v>
      </c>
      <c r="S448" s="43"/>
      <c r="T448" s="49">
        <v>45366</v>
      </c>
    </row>
    <row r="449" spans="1:20">
      <c r="A449" s="44" t="s">
        <v>3944</v>
      </c>
      <c r="B449" s="44"/>
      <c r="C449" s="45" t="s">
        <v>3945</v>
      </c>
      <c r="D449" s="44" t="s">
        <v>1419</v>
      </c>
      <c r="E449" s="44" t="s">
        <v>1460</v>
      </c>
      <c r="F449" s="51">
        <v>41457.382442627299</v>
      </c>
      <c r="G449" s="44" t="s">
        <v>1466</v>
      </c>
      <c r="H449" s="44"/>
      <c r="I449" s="46"/>
      <c r="J449" s="46"/>
      <c r="K449" s="46"/>
      <c r="L449" s="46"/>
      <c r="M449" s="46"/>
      <c r="N449" s="46"/>
      <c r="O449" s="44"/>
      <c r="P449" s="44"/>
      <c r="Q449" s="44" t="s">
        <v>1463</v>
      </c>
      <c r="R449" s="44" t="s">
        <v>1463</v>
      </c>
      <c r="S449" s="43"/>
      <c r="T449" s="44"/>
    </row>
    <row r="450" spans="1:20" ht="26.45">
      <c r="A450" s="47" t="s">
        <v>200</v>
      </c>
      <c r="B450" s="47" t="s">
        <v>3946</v>
      </c>
      <c r="C450" s="48" t="s">
        <v>800</v>
      </c>
      <c r="D450" s="47" t="s">
        <v>1414</v>
      </c>
      <c r="E450" s="47" t="s">
        <v>1481</v>
      </c>
      <c r="F450" s="47"/>
      <c r="G450" s="47" t="s">
        <v>1466</v>
      </c>
      <c r="H450" s="47" t="s">
        <v>3947</v>
      </c>
      <c r="I450" s="50" t="s">
        <v>800</v>
      </c>
      <c r="J450" s="50" t="s">
        <v>3948</v>
      </c>
      <c r="K450" s="50" t="s">
        <v>1484</v>
      </c>
      <c r="L450" s="50" t="s">
        <v>1474</v>
      </c>
      <c r="M450" s="50" t="s">
        <v>3949</v>
      </c>
      <c r="N450" s="50" t="s">
        <v>1525</v>
      </c>
      <c r="O450" s="47" t="s">
        <v>3950</v>
      </c>
      <c r="P450" s="47" t="s">
        <v>3951</v>
      </c>
      <c r="Q450" s="47" t="s">
        <v>1463</v>
      </c>
      <c r="R450" s="47" t="s">
        <v>1463</v>
      </c>
      <c r="S450" s="43"/>
      <c r="T450" s="49">
        <v>45688</v>
      </c>
    </row>
    <row r="451" spans="1:20">
      <c r="A451" s="44" t="s">
        <v>3952</v>
      </c>
      <c r="B451" s="44" t="s">
        <v>3953</v>
      </c>
      <c r="C451" s="45" t="s">
        <v>3954</v>
      </c>
      <c r="D451" s="44" t="s">
        <v>1419</v>
      </c>
      <c r="E451" s="44" t="s">
        <v>1460</v>
      </c>
      <c r="F451" s="51">
        <v>44277.884803437497</v>
      </c>
      <c r="G451" s="44" t="s">
        <v>1466</v>
      </c>
      <c r="H451" s="44" t="s">
        <v>3955</v>
      </c>
      <c r="I451" s="46" t="s">
        <v>3956</v>
      </c>
      <c r="J451" s="46" t="s">
        <v>3957</v>
      </c>
      <c r="K451" s="46" t="s">
        <v>2061</v>
      </c>
      <c r="L451" s="46" t="s">
        <v>1504</v>
      </c>
      <c r="M451" s="46" t="s">
        <v>3958</v>
      </c>
      <c r="N451" s="46" t="s">
        <v>1525</v>
      </c>
      <c r="O451" s="44" t="s">
        <v>3959</v>
      </c>
      <c r="P451" s="44"/>
      <c r="Q451" s="44" t="s">
        <v>1463</v>
      </c>
      <c r="R451" s="44" t="s">
        <v>1463</v>
      </c>
      <c r="S451" s="43"/>
      <c r="T451" s="51">
        <v>44610</v>
      </c>
    </row>
    <row r="452" spans="1:20">
      <c r="A452" s="47" t="s">
        <v>3960</v>
      </c>
      <c r="B452" s="47" t="s">
        <v>3961</v>
      </c>
      <c r="C452" s="48" t="s">
        <v>3962</v>
      </c>
      <c r="D452" s="47" t="s">
        <v>1410</v>
      </c>
      <c r="E452" s="47" t="s">
        <v>1460</v>
      </c>
      <c r="F452" s="49">
        <v>42451.926348113397</v>
      </c>
      <c r="G452" s="47" t="s">
        <v>1663</v>
      </c>
      <c r="H452" s="47"/>
      <c r="I452" s="50" t="s">
        <v>3962</v>
      </c>
      <c r="J452" s="50"/>
      <c r="K452" s="50"/>
      <c r="L452" s="50"/>
      <c r="M452" s="50"/>
      <c r="N452" s="50"/>
      <c r="O452" s="47" t="s">
        <v>3963</v>
      </c>
      <c r="P452" s="47"/>
      <c r="Q452" s="47" t="s">
        <v>1463</v>
      </c>
      <c r="R452" s="47" t="s">
        <v>1463</v>
      </c>
      <c r="S452" s="43"/>
      <c r="T452" s="47"/>
    </row>
    <row r="453" spans="1:20" ht="26.45">
      <c r="A453" s="44" t="s">
        <v>801</v>
      </c>
      <c r="B453" s="44" t="s">
        <v>3964</v>
      </c>
      <c r="C453" s="45" t="s">
        <v>802</v>
      </c>
      <c r="D453" s="44" t="s">
        <v>1419</v>
      </c>
      <c r="E453" s="44" t="s">
        <v>1481</v>
      </c>
      <c r="F453" s="44"/>
      <c r="G453" s="44" t="s">
        <v>1466</v>
      </c>
      <c r="H453" s="44" t="s">
        <v>3965</v>
      </c>
      <c r="I453" s="46" t="s">
        <v>3966</v>
      </c>
      <c r="J453" s="46" t="s">
        <v>3967</v>
      </c>
      <c r="K453" s="46" t="s">
        <v>2184</v>
      </c>
      <c r="L453" s="46" t="s">
        <v>1504</v>
      </c>
      <c r="M453" s="46" t="s">
        <v>3968</v>
      </c>
      <c r="N453" s="46" t="s">
        <v>1476</v>
      </c>
      <c r="O453" s="44" t="s">
        <v>3969</v>
      </c>
      <c r="P453" s="44" t="s">
        <v>3970</v>
      </c>
      <c r="Q453" s="44" t="s">
        <v>1463</v>
      </c>
      <c r="R453" s="44" t="s">
        <v>1463</v>
      </c>
      <c r="S453" s="43"/>
      <c r="T453" s="51">
        <v>45363</v>
      </c>
    </row>
    <row r="454" spans="1:20" ht="26.45">
      <c r="A454" s="47" t="s">
        <v>3971</v>
      </c>
      <c r="B454" s="47" t="s">
        <v>3972</v>
      </c>
      <c r="C454" s="48" t="s">
        <v>3973</v>
      </c>
      <c r="D454" s="47" t="s">
        <v>1419</v>
      </c>
      <c r="E454" s="47" t="s">
        <v>1481</v>
      </c>
      <c r="F454" s="47"/>
      <c r="G454" s="47" t="s">
        <v>1466</v>
      </c>
      <c r="H454" s="47" t="s">
        <v>3974</v>
      </c>
      <c r="I454" s="50" t="s">
        <v>3975</v>
      </c>
      <c r="J454" s="50" t="s">
        <v>3976</v>
      </c>
      <c r="K454" s="50" t="s">
        <v>1493</v>
      </c>
      <c r="L454" s="50" t="s">
        <v>1474</v>
      </c>
      <c r="M454" s="50" t="s">
        <v>3977</v>
      </c>
      <c r="N454" s="50" t="s">
        <v>1525</v>
      </c>
      <c r="O454" s="47" t="s">
        <v>3978</v>
      </c>
      <c r="P454" s="47" t="s">
        <v>3979</v>
      </c>
      <c r="Q454" s="47" t="s">
        <v>1463</v>
      </c>
      <c r="R454" s="47" t="s">
        <v>1463</v>
      </c>
      <c r="S454" s="43"/>
      <c r="T454" s="49">
        <v>44837</v>
      </c>
    </row>
    <row r="455" spans="1:20">
      <c r="A455" s="44" t="s">
        <v>3980</v>
      </c>
      <c r="B455" s="44" t="s">
        <v>3981</v>
      </c>
      <c r="C455" s="45" t="s">
        <v>3982</v>
      </c>
      <c r="D455" s="44" t="s">
        <v>1410</v>
      </c>
      <c r="E455" s="44" t="s">
        <v>1481</v>
      </c>
      <c r="F455" s="44"/>
      <c r="G455" s="44" t="s">
        <v>1466</v>
      </c>
      <c r="H455" s="44"/>
      <c r="I455" s="46" t="s">
        <v>3983</v>
      </c>
      <c r="J455" s="46" t="s">
        <v>3984</v>
      </c>
      <c r="K455" s="46" t="s">
        <v>3985</v>
      </c>
      <c r="L455" s="46" t="s">
        <v>1504</v>
      </c>
      <c r="M455" s="46" t="s">
        <v>3986</v>
      </c>
      <c r="N455" s="46" t="s">
        <v>1476</v>
      </c>
      <c r="O455" s="44" t="s">
        <v>3987</v>
      </c>
      <c r="P455" s="44" t="s">
        <v>3988</v>
      </c>
      <c r="Q455" s="44" t="s">
        <v>1463</v>
      </c>
      <c r="R455" s="44" t="s">
        <v>1463</v>
      </c>
      <c r="S455" s="43"/>
      <c r="T455" s="51">
        <v>44788</v>
      </c>
    </row>
    <row r="456" spans="1:20">
      <c r="A456" s="47" t="s">
        <v>3989</v>
      </c>
      <c r="B456" s="47"/>
      <c r="C456" s="48" t="s">
        <v>3990</v>
      </c>
      <c r="D456" s="47" t="s">
        <v>1420</v>
      </c>
      <c r="E456" s="47" t="s">
        <v>1460</v>
      </c>
      <c r="F456" s="49">
        <v>41474.645828506902</v>
      </c>
      <c r="G456" s="47" t="s">
        <v>1466</v>
      </c>
      <c r="H456" s="47"/>
      <c r="I456" s="50"/>
      <c r="J456" s="50"/>
      <c r="K456" s="50"/>
      <c r="L456" s="50"/>
      <c r="M456" s="50"/>
      <c r="N456" s="50"/>
      <c r="O456" s="47"/>
      <c r="P456" s="47"/>
      <c r="Q456" s="47" t="s">
        <v>1463</v>
      </c>
      <c r="R456" s="47" t="s">
        <v>1463</v>
      </c>
      <c r="S456" s="43"/>
      <c r="T456" s="47"/>
    </row>
    <row r="457" spans="1:20" ht="26.45">
      <c r="A457" s="44" t="s">
        <v>3991</v>
      </c>
      <c r="B457" s="44" t="s">
        <v>3992</v>
      </c>
      <c r="C457" s="45" t="s">
        <v>3993</v>
      </c>
      <c r="D457" s="44" t="s">
        <v>1414</v>
      </c>
      <c r="E457" s="44" t="s">
        <v>1481</v>
      </c>
      <c r="F457" s="44"/>
      <c r="G457" s="44" t="s">
        <v>1466</v>
      </c>
      <c r="H457" s="44" t="s">
        <v>3994</v>
      </c>
      <c r="I457" s="46" t="s">
        <v>3993</v>
      </c>
      <c r="J457" s="46" t="s">
        <v>3995</v>
      </c>
      <c r="K457" s="46" t="s">
        <v>2764</v>
      </c>
      <c r="L457" s="46" t="s">
        <v>1504</v>
      </c>
      <c r="M457" s="46" t="s">
        <v>3996</v>
      </c>
      <c r="N457" s="46" t="s">
        <v>1495</v>
      </c>
      <c r="O457" s="44" t="s">
        <v>3997</v>
      </c>
      <c r="P457" s="44"/>
      <c r="Q457" s="44" t="s">
        <v>1463</v>
      </c>
      <c r="R457" s="44" t="s">
        <v>1463</v>
      </c>
      <c r="S457" s="43"/>
      <c r="T457" s="51">
        <v>42269</v>
      </c>
    </row>
    <row r="458" spans="1:20" ht="26.45">
      <c r="A458" s="47" t="s">
        <v>3998</v>
      </c>
      <c r="B458" s="47" t="s">
        <v>3999</v>
      </c>
      <c r="C458" s="48" t="s">
        <v>4000</v>
      </c>
      <c r="D458" s="47" t="s">
        <v>1414</v>
      </c>
      <c r="E458" s="47" t="s">
        <v>1460</v>
      </c>
      <c r="F458" s="49">
        <v>42815.9491291667</v>
      </c>
      <c r="G458" s="47" t="s">
        <v>1466</v>
      </c>
      <c r="H458" s="47" t="s">
        <v>4001</v>
      </c>
      <c r="I458" s="50" t="s">
        <v>4000</v>
      </c>
      <c r="J458" s="50" t="s">
        <v>4002</v>
      </c>
      <c r="K458" s="50" t="s">
        <v>2764</v>
      </c>
      <c r="L458" s="50" t="s">
        <v>1504</v>
      </c>
      <c r="M458" s="50" t="s">
        <v>4003</v>
      </c>
      <c r="N458" s="50" t="s">
        <v>1531</v>
      </c>
      <c r="O458" s="47" t="s">
        <v>4004</v>
      </c>
      <c r="P458" s="47"/>
      <c r="Q458" s="47" t="s">
        <v>1463</v>
      </c>
      <c r="R458" s="47" t="s">
        <v>1463</v>
      </c>
      <c r="S458" s="43"/>
      <c r="T458" s="49">
        <v>43144</v>
      </c>
    </row>
    <row r="459" spans="1:20" ht="26.45">
      <c r="A459" s="44" t="s">
        <v>4005</v>
      </c>
      <c r="B459" s="44" t="s">
        <v>4006</v>
      </c>
      <c r="C459" s="45" t="s">
        <v>4000</v>
      </c>
      <c r="D459" s="44" t="s">
        <v>1414</v>
      </c>
      <c r="E459" s="44" t="s">
        <v>1460</v>
      </c>
      <c r="F459" s="51">
        <v>42815.948782488398</v>
      </c>
      <c r="G459" s="44" t="s">
        <v>1466</v>
      </c>
      <c r="H459" s="44" t="s">
        <v>4007</v>
      </c>
      <c r="I459" s="46" t="s">
        <v>4000</v>
      </c>
      <c r="J459" s="46" t="s">
        <v>4008</v>
      </c>
      <c r="K459" s="46" t="s">
        <v>2764</v>
      </c>
      <c r="L459" s="46" t="s">
        <v>1504</v>
      </c>
      <c r="M459" s="46" t="s">
        <v>4003</v>
      </c>
      <c r="N459" s="46" t="s">
        <v>1531</v>
      </c>
      <c r="O459" s="44" t="s">
        <v>4004</v>
      </c>
      <c r="P459" s="44"/>
      <c r="Q459" s="44" t="s">
        <v>1463</v>
      </c>
      <c r="R459" s="44" t="s">
        <v>1463</v>
      </c>
      <c r="S459" s="43"/>
      <c r="T459" s="51">
        <v>43144</v>
      </c>
    </row>
    <row r="460" spans="1:20" ht="26.45">
      <c r="A460" s="47" t="s">
        <v>201</v>
      </c>
      <c r="B460" s="47" t="s">
        <v>4009</v>
      </c>
      <c r="C460" s="48" t="s">
        <v>803</v>
      </c>
      <c r="D460" s="47" t="s">
        <v>1428</v>
      </c>
      <c r="E460" s="47" t="s">
        <v>1481</v>
      </c>
      <c r="F460" s="47"/>
      <c r="G460" s="47" t="s">
        <v>1687</v>
      </c>
      <c r="H460" s="47" t="s">
        <v>4010</v>
      </c>
      <c r="I460" s="50" t="s">
        <v>4011</v>
      </c>
      <c r="J460" s="50" t="s">
        <v>4012</v>
      </c>
      <c r="K460" s="50" t="s">
        <v>4013</v>
      </c>
      <c r="L460" s="50" t="s">
        <v>1504</v>
      </c>
      <c r="M460" s="50" t="s">
        <v>4014</v>
      </c>
      <c r="N460" s="50" t="s">
        <v>1531</v>
      </c>
      <c r="O460" s="47" t="s">
        <v>4015</v>
      </c>
      <c r="P460" s="47" t="s">
        <v>4016</v>
      </c>
      <c r="Q460" s="47" t="s">
        <v>1695</v>
      </c>
      <c r="R460" s="47" t="s">
        <v>1463</v>
      </c>
      <c r="S460" s="43"/>
      <c r="T460" s="49">
        <v>45677</v>
      </c>
    </row>
    <row r="461" spans="1:20" ht="26.45">
      <c r="A461" s="44" t="s">
        <v>4017</v>
      </c>
      <c r="B461" s="44" t="s">
        <v>4018</v>
      </c>
      <c r="C461" s="45" t="s">
        <v>4019</v>
      </c>
      <c r="D461" s="44" t="s">
        <v>1419</v>
      </c>
      <c r="E461" s="44" t="s">
        <v>1481</v>
      </c>
      <c r="F461" s="44"/>
      <c r="G461" s="44" t="s">
        <v>1585</v>
      </c>
      <c r="H461" s="44"/>
      <c r="I461" s="46"/>
      <c r="J461" s="46"/>
      <c r="K461" s="46"/>
      <c r="L461" s="46"/>
      <c r="M461" s="46"/>
      <c r="N461" s="46"/>
      <c r="O461" s="44"/>
      <c r="P461" s="44"/>
      <c r="Q461" s="44" t="s">
        <v>1463</v>
      </c>
      <c r="R461" s="44" t="s">
        <v>1463</v>
      </c>
      <c r="S461" s="43"/>
      <c r="T461" s="44"/>
    </row>
    <row r="462" spans="1:20" ht="26.45">
      <c r="A462" s="47" t="s">
        <v>202</v>
      </c>
      <c r="B462" s="47" t="s">
        <v>4020</v>
      </c>
      <c r="C462" s="48" t="s">
        <v>804</v>
      </c>
      <c r="D462" s="47" t="s">
        <v>1410</v>
      </c>
      <c r="E462" s="47" t="s">
        <v>1481</v>
      </c>
      <c r="F462" s="47"/>
      <c r="G462" s="47" t="s">
        <v>1687</v>
      </c>
      <c r="H462" s="47" t="s">
        <v>4021</v>
      </c>
      <c r="I462" s="50" t="s">
        <v>4022</v>
      </c>
      <c r="J462" s="50" t="s">
        <v>4023</v>
      </c>
      <c r="K462" s="50" t="s">
        <v>4024</v>
      </c>
      <c r="L462" s="50" t="s">
        <v>1474</v>
      </c>
      <c r="M462" s="50" t="s">
        <v>4025</v>
      </c>
      <c r="N462" s="50" t="s">
        <v>1641</v>
      </c>
      <c r="O462" s="47" t="s">
        <v>4026</v>
      </c>
      <c r="P462" s="47" t="s">
        <v>4027</v>
      </c>
      <c r="Q462" s="47" t="s">
        <v>1695</v>
      </c>
      <c r="R462" s="47" t="s">
        <v>1463</v>
      </c>
      <c r="S462" s="43"/>
      <c r="T462" s="49">
        <v>45315</v>
      </c>
    </row>
    <row r="463" spans="1:20" ht="26.45">
      <c r="A463" s="44" t="s">
        <v>4028</v>
      </c>
      <c r="B463" s="44" t="s">
        <v>4029</v>
      </c>
      <c r="C463" s="45" t="s">
        <v>4030</v>
      </c>
      <c r="D463" s="44" t="s">
        <v>1414</v>
      </c>
      <c r="E463" s="44" t="s">
        <v>1481</v>
      </c>
      <c r="F463" s="44"/>
      <c r="G463" s="44" t="s">
        <v>1687</v>
      </c>
      <c r="H463" s="44" t="s">
        <v>4031</v>
      </c>
      <c r="I463" s="46" t="s">
        <v>4032</v>
      </c>
      <c r="J463" s="46" t="s">
        <v>4033</v>
      </c>
      <c r="K463" s="46" t="s">
        <v>4034</v>
      </c>
      <c r="L463" s="46" t="s">
        <v>1474</v>
      </c>
      <c r="M463" s="46" t="s">
        <v>4035</v>
      </c>
      <c r="N463" s="46" t="s">
        <v>1629</v>
      </c>
      <c r="O463" s="44" t="s">
        <v>4036</v>
      </c>
      <c r="P463" s="44" t="s">
        <v>4037</v>
      </c>
      <c r="Q463" s="44" t="s">
        <v>1695</v>
      </c>
      <c r="R463" s="44" t="s">
        <v>1463</v>
      </c>
      <c r="S463" s="43"/>
      <c r="T463" s="51">
        <v>45092</v>
      </c>
    </row>
    <row r="464" spans="1:20">
      <c r="A464" s="47" t="s">
        <v>4038</v>
      </c>
      <c r="B464" s="47" t="s">
        <v>4039</v>
      </c>
      <c r="C464" s="48" t="s">
        <v>4040</v>
      </c>
      <c r="D464" s="47" t="s">
        <v>1419</v>
      </c>
      <c r="E464" s="47" t="s">
        <v>1460</v>
      </c>
      <c r="F464" s="49">
        <v>42445.727858101898</v>
      </c>
      <c r="G464" s="47" t="s">
        <v>1466</v>
      </c>
      <c r="H464" s="47" t="s">
        <v>4041</v>
      </c>
      <c r="I464" s="50" t="s">
        <v>4040</v>
      </c>
      <c r="J464" s="50" t="s">
        <v>4042</v>
      </c>
      <c r="K464" s="50" t="s">
        <v>4043</v>
      </c>
      <c r="L464" s="50" t="s">
        <v>1504</v>
      </c>
      <c r="M464" s="50" t="s">
        <v>4044</v>
      </c>
      <c r="N464" s="50" t="s">
        <v>1531</v>
      </c>
      <c r="O464" s="47" t="s">
        <v>4045</v>
      </c>
      <c r="P464" s="47"/>
      <c r="Q464" s="47" t="s">
        <v>1463</v>
      </c>
      <c r="R464" s="47" t="s">
        <v>1463</v>
      </c>
      <c r="S464" s="43"/>
      <c r="T464" s="47"/>
    </row>
    <row r="465" spans="1:20" ht="26.45">
      <c r="A465" s="44" t="s">
        <v>203</v>
      </c>
      <c r="B465" s="44" t="s">
        <v>4046</v>
      </c>
      <c r="C465" s="45" t="s">
        <v>805</v>
      </c>
      <c r="D465" s="44" t="s">
        <v>1419</v>
      </c>
      <c r="E465" s="44" t="s">
        <v>1481</v>
      </c>
      <c r="F465" s="44"/>
      <c r="G465" s="44" t="s">
        <v>1466</v>
      </c>
      <c r="H465" s="44" t="s">
        <v>4047</v>
      </c>
      <c r="I465" s="46" t="s">
        <v>805</v>
      </c>
      <c r="J465" s="46" t="s">
        <v>4048</v>
      </c>
      <c r="K465" s="46" t="s">
        <v>1493</v>
      </c>
      <c r="L465" s="46" t="s">
        <v>1504</v>
      </c>
      <c r="M465" s="46" t="s">
        <v>4049</v>
      </c>
      <c r="N465" s="46" t="s">
        <v>1629</v>
      </c>
      <c r="O465" s="44" t="s">
        <v>4050</v>
      </c>
      <c r="P465" s="44" t="s">
        <v>4051</v>
      </c>
      <c r="Q465" s="44" t="s">
        <v>1463</v>
      </c>
      <c r="R465" s="44" t="s">
        <v>1463</v>
      </c>
      <c r="S465" s="43"/>
      <c r="T465" s="51">
        <v>45695</v>
      </c>
    </row>
    <row r="466" spans="1:20">
      <c r="A466" s="47" t="s">
        <v>4052</v>
      </c>
      <c r="B466" s="47"/>
      <c r="C466" s="48" t="s">
        <v>4053</v>
      </c>
      <c r="D466" s="47" t="s">
        <v>1419</v>
      </c>
      <c r="E466" s="47" t="s">
        <v>1460</v>
      </c>
      <c r="F466" s="49">
        <v>42531.819338159701</v>
      </c>
      <c r="G466" s="47" t="s">
        <v>1687</v>
      </c>
      <c r="H466" s="47"/>
      <c r="I466" s="50" t="s">
        <v>805</v>
      </c>
      <c r="J466" s="50" t="s">
        <v>4054</v>
      </c>
      <c r="K466" s="50" t="s">
        <v>1493</v>
      </c>
      <c r="L466" s="50" t="s">
        <v>1504</v>
      </c>
      <c r="M466" s="50" t="s">
        <v>4055</v>
      </c>
      <c r="N466" s="50"/>
      <c r="O466" s="47"/>
      <c r="P466" s="47"/>
      <c r="Q466" s="47" t="s">
        <v>1463</v>
      </c>
      <c r="R466" s="47" t="s">
        <v>1463</v>
      </c>
      <c r="S466" s="43"/>
      <c r="T466" s="47"/>
    </row>
    <row r="467" spans="1:20">
      <c r="A467" s="44" t="s">
        <v>4056</v>
      </c>
      <c r="B467" s="44" t="s">
        <v>4057</v>
      </c>
      <c r="C467" s="45" t="s">
        <v>4053</v>
      </c>
      <c r="D467" s="44" t="s">
        <v>1419</v>
      </c>
      <c r="E467" s="44" t="s">
        <v>1460</v>
      </c>
      <c r="F467" s="51">
        <v>42573.689853588003</v>
      </c>
      <c r="G467" s="44" t="s">
        <v>1466</v>
      </c>
      <c r="H467" s="44" t="s">
        <v>4058</v>
      </c>
      <c r="I467" s="46" t="s">
        <v>805</v>
      </c>
      <c r="J467" s="46" t="s">
        <v>4054</v>
      </c>
      <c r="K467" s="46" t="s">
        <v>1493</v>
      </c>
      <c r="L467" s="46" t="s">
        <v>1504</v>
      </c>
      <c r="M467" s="46" t="s">
        <v>4055</v>
      </c>
      <c r="N467" s="46" t="s">
        <v>1495</v>
      </c>
      <c r="O467" s="44" t="s">
        <v>4059</v>
      </c>
      <c r="P467" s="44"/>
      <c r="Q467" s="44" t="s">
        <v>1463</v>
      </c>
      <c r="R467" s="44" t="s">
        <v>1463</v>
      </c>
      <c r="S467" s="43"/>
      <c r="T467" s="51">
        <v>42858</v>
      </c>
    </row>
    <row r="468" spans="1:20">
      <c r="A468" s="47" t="s">
        <v>4060</v>
      </c>
      <c r="B468" s="47" t="s">
        <v>4061</v>
      </c>
      <c r="C468" s="48" t="s">
        <v>4062</v>
      </c>
      <c r="D468" s="47" t="s">
        <v>1419</v>
      </c>
      <c r="E468" s="47" t="s">
        <v>1481</v>
      </c>
      <c r="F468" s="47"/>
      <c r="G468" s="47" t="s">
        <v>1663</v>
      </c>
      <c r="H468" s="47"/>
      <c r="I468" s="50"/>
      <c r="J468" s="50"/>
      <c r="K468" s="50"/>
      <c r="L468" s="50"/>
      <c r="M468" s="50"/>
      <c r="N468" s="50"/>
      <c r="O468" s="47"/>
      <c r="P468" s="47"/>
      <c r="Q468" s="47" t="s">
        <v>1463</v>
      </c>
      <c r="R468" s="47" t="s">
        <v>1463</v>
      </c>
      <c r="S468" s="43"/>
      <c r="T468" s="47"/>
    </row>
    <row r="469" spans="1:20">
      <c r="A469" s="44" t="s">
        <v>4063</v>
      </c>
      <c r="B469" s="44"/>
      <c r="C469" s="45" t="s">
        <v>4064</v>
      </c>
      <c r="D469" s="44" t="s">
        <v>1419</v>
      </c>
      <c r="E469" s="44" t="s">
        <v>1460</v>
      </c>
      <c r="F469" s="51">
        <v>41457.382442048598</v>
      </c>
      <c r="G469" s="44" t="s">
        <v>1466</v>
      </c>
      <c r="H469" s="44" t="s">
        <v>4065</v>
      </c>
      <c r="I469" s="46"/>
      <c r="J469" s="46"/>
      <c r="K469" s="46"/>
      <c r="L469" s="46"/>
      <c r="M469" s="46"/>
      <c r="N469" s="46"/>
      <c r="O469" s="44"/>
      <c r="P469" s="44"/>
      <c r="Q469" s="44" t="s">
        <v>1463</v>
      </c>
      <c r="R469" s="44" t="s">
        <v>1463</v>
      </c>
      <c r="S469" s="43"/>
      <c r="T469" s="44"/>
    </row>
    <row r="470" spans="1:20">
      <c r="A470" s="47" t="s">
        <v>4066</v>
      </c>
      <c r="B470" s="47" t="s">
        <v>4067</v>
      </c>
      <c r="C470" s="48" t="s">
        <v>4068</v>
      </c>
      <c r="D470" s="47" t="s">
        <v>1419</v>
      </c>
      <c r="E470" s="47" t="s">
        <v>1460</v>
      </c>
      <c r="F470" s="49">
        <v>42458.822726423597</v>
      </c>
      <c r="G470" s="47" t="s">
        <v>1466</v>
      </c>
      <c r="H470" s="47" t="s">
        <v>4069</v>
      </c>
      <c r="I470" s="50" t="s">
        <v>4068</v>
      </c>
      <c r="J470" s="50"/>
      <c r="K470" s="50"/>
      <c r="L470" s="50"/>
      <c r="M470" s="50"/>
      <c r="N470" s="50"/>
      <c r="O470" s="47" t="s">
        <v>4070</v>
      </c>
      <c r="P470" s="47"/>
      <c r="Q470" s="47" t="s">
        <v>1463</v>
      </c>
      <c r="R470" s="47" t="s">
        <v>1463</v>
      </c>
      <c r="S470" s="43"/>
      <c r="T470" s="47"/>
    </row>
    <row r="471" spans="1:20" ht="26.45">
      <c r="A471" s="44" t="s">
        <v>204</v>
      </c>
      <c r="B471" s="44" t="s">
        <v>4071</v>
      </c>
      <c r="C471" s="45" t="s">
        <v>807</v>
      </c>
      <c r="D471" s="44" t="s">
        <v>1419</v>
      </c>
      <c r="E471" s="44" t="s">
        <v>1481</v>
      </c>
      <c r="F471" s="44"/>
      <c r="G471" s="44" t="s">
        <v>1466</v>
      </c>
      <c r="H471" s="44" t="s">
        <v>4072</v>
      </c>
      <c r="I471" s="46" t="s">
        <v>4073</v>
      </c>
      <c r="J471" s="46" t="s">
        <v>4074</v>
      </c>
      <c r="K471" s="46" t="s">
        <v>1493</v>
      </c>
      <c r="L471" s="46" t="s">
        <v>1474</v>
      </c>
      <c r="M471" s="46" t="s">
        <v>4075</v>
      </c>
      <c r="N471" s="46" t="s">
        <v>1629</v>
      </c>
      <c r="O471" s="44" t="s">
        <v>4076</v>
      </c>
      <c r="P471" s="44" t="s">
        <v>4077</v>
      </c>
      <c r="Q471" s="44" t="s">
        <v>1463</v>
      </c>
      <c r="R471" s="44" t="s">
        <v>1463</v>
      </c>
      <c r="S471" s="43"/>
      <c r="T471" s="51">
        <v>45699</v>
      </c>
    </row>
    <row r="472" spans="1:20" ht="26.45">
      <c r="A472" s="47" t="s">
        <v>806</v>
      </c>
      <c r="B472" s="47" t="s">
        <v>4078</v>
      </c>
      <c r="C472" s="48" t="s">
        <v>807</v>
      </c>
      <c r="D472" s="47" t="s">
        <v>1419</v>
      </c>
      <c r="E472" s="47" t="s">
        <v>1481</v>
      </c>
      <c r="F472" s="47"/>
      <c r="G472" s="47" t="s">
        <v>1466</v>
      </c>
      <c r="H472" s="47" t="s">
        <v>4079</v>
      </c>
      <c r="I472" s="50" t="s">
        <v>4073</v>
      </c>
      <c r="J472" s="50" t="s">
        <v>4074</v>
      </c>
      <c r="K472" s="50" t="s">
        <v>1493</v>
      </c>
      <c r="L472" s="50" t="s">
        <v>1474</v>
      </c>
      <c r="M472" s="50" t="s">
        <v>4075</v>
      </c>
      <c r="N472" s="50" t="s">
        <v>1629</v>
      </c>
      <c r="O472" s="47" t="s">
        <v>4076</v>
      </c>
      <c r="P472" s="47" t="s">
        <v>4077</v>
      </c>
      <c r="Q472" s="47" t="s">
        <v>1463</v>
      </c>
      <c r="R472" s="47" t="s">
        <v>1463</v>
      </c>
      <c r="S472" s="43"/>
      <c r="T472" s="49">
        <v>45699</v>
      </c>
    </row>
    <row r="473" spans="1:20" ht="26.45">
      <c r="A473" s="44" t="s">
        <v>808</v>
      </c>
      <c r="B473" s="44" t="s">
        <v>4080</v>
      </c>
      <c r="C473" s="45" t="s">
        <v>809</v>
      </c>
      <c r="D473" s="44" t="s">
        <v>1419</v>
      </c>
      <c r="E473" s="44" t="s">
        <v>1481</v>
      </c>
      <c r="F473" s="44"/>
      <c r="G473" s="44" t="s">
        <v>1466</v>
      </c>
      <c r="H473" s="44" t="s">
        <v>4081</v>
      </c>
      <c r="I473" s="46" t="s">
        <v>809</v>
      </c>
      <c r="J473" s="46" t="s">
        <v>4074</v>
      </c>
      <c r="K473" s="46" t="s">
        <v>1493</v>
      </c>
      <c r="L473" s="46" t="s">
        <v>1474</v>
      </c>
      <c r="M473" s="46" t="s">
        <v>4075</v>
      </c>
      <c r="N473" s="46" t="s">
        <v>1629</v>
      </c>
      <c r="O473" s="44" t="s">
        <v>4082</v>
      </c>
      <c r="P473" s="44" t="s">
        <v>4083</v>
      </c>
      <c r="Q473" s="44" t="s">
        <v>1463</v>
      </c>
      <c r="R473" s="44" t="s">
        <v>1463</v>
      </c>
      <c r="S473" s="43"/>
      <c r="T473" s="51">
        <v>45699</v>
      </c>
    </row>
    <row r="474" spans="1:20" ht="26.45">
      <c r="A474" s="47" t="s">
        <v>810</v>
      </c>
      <c r="B474" s="47" t="s">
        <v>4084</v>
      </c>
      <c r="C474" s="48" t="s">
        <v>811</v>
      </c>
      <c r="D474" s="47" t="s">
        <v>1419</v>
      </c>
      <c r="E474" s="47" t="s">
        <v>1481</v>
      </c>
      <c r="F474" s="47"/>
      <c r="G474" s="47" t="s">
        <v>1466</v>
      </c>
      <c r="H474" s="47" t="s">
        <v>4085</v>
      </c>
      <c r="I474" s="50" t="s">
        <v>811</v>
      </c>
      <c r="J474" s="50" t="s">
        <v>4086</v>
      </c>
      <c r="K474" s="50" t="s">
        <v>2097</v>
      </c>
      <c r="L474" s="50" t="s">
        <v>1474</v>
      </c>
      <c r="M474" s="50" t="s">
        <v>4087</v>
      </c>
      <c r="N474" s="50" t="s">
        <v>1516</v>
      </c>
      <c r="O474" s="47" t="s">
        <v>4088</v>
      </c>
      <c r="P474" s="47" t="s">
        <v>4089</v>
      </c>
      <c r="Q474" s="47" t="s">
        <v>1463</v>
      </c>
      <c r="R474" s="47" t="s">
        <v>1463</v>
      </c>
      <c r="S474" s="43"/>
      <c r="T474" s="49">
        <v>45692</v>
      </c>
    </row>
    <row r="475" spans="1:20" ht="26.45">
      <c r="A475" s="44" t="s">
        <v>4090</v>
      </c>
      <c r="B475" s="44" t="s">
        <v>4091</v>
      </c>
      <c r="C475" s="45" t="s">
        <v>4092</v>
      </c>
      <c r="D475" s="44" t="s">
        <v>1425</v>
      </c>
      <c r="E475" s="44" t="s">
        <v>1481</v>
      </c>
      <c r="F475" s="44"/>
      <c r="G475" s="44" t="s">
        <v>1490</v>
      </c>
      <c r="H475" s="44" t="s">
        <v>4093</v>
      </c>
      <c r="I475" s="46" t="s">
        <v>4092</v>
      </c>
      <c r="J475" s="46" t="s">
        <v>4094</v>
      </c>
      <c r="K475" s="46" t="s">
        <v>2112</v>
      </c>
      <c r="L475" s="46" t="s">
        <v>1504</v>
      </c>
      <c r="M475" s="46" t="s">
        <v>4095</v>
      </c>
      <c r="N475" s="46" t="s">
        <v>1495</v>
      </c>
      <c r="O475" s="44" t="s">
        <v>4096</v>
      </c>
      <c r="P475" s="44" t="s">
        <v>4097</v>
      </c>
      <c r="Q475" s="44" t="s">
        <v>1463</v>
      </c>
      <c r="R475" s="44" t="s">
        <v>1463</v>
      </c>
      <c r="S475" s="43"/>
      <c r="T475" s="51">
        <v>45539</v>
      </c>
    </row>
    <row r="476" spans="1:20" ht="26.45">
      <c r="A476" s="47" t="s">
        <v>205</v>
      </c>
      <c r="B476" s="47" t="s">
        <v>4098</v>
      </c>
      <c r="C476" s="48" t="s">
        <v>812</v>
      </c>
      <c r="D476" s="47" t="s">
        <v>1419</v>
      </c>
      <c r="E476" s="47" t="s">
        <v>1481</v>
      </c>
      <c r="F476" s="47"/>
      <c r="G476" s="47" t="s">
        <v>1466</v>
      </c>
      <c r="H476" s="47" t="s">
        <v>4099</v>
      </c>
      <c r="I476" s="50" t="s">
        <v>4100</v>
      </c>
      <c r="J476" s="50" t="s">
        <v>4101</v>
      </c>
      <c r="K476" s="50" t="s">
        <v>2829</v>
      </c>
      <c r="L476" s="50" t="s">
        <v>1504</v>
      </c>
      <c r="M476" s="50" t="s">
        <v>1550</v>
      </c>
      <c r="N476" s="50" t="s">
        <v>1525</v>
      </c>
      <c r="O476" s="47" t="s">
        <v>4102</v>
      </c>
      <c r="P476" s="47" t="s">
        <v>4103</v>
      </c>
      <c r="Q476" s="47" t="s">
        <v>1463</v>
      </c>
      <c r="R476" s="47" t="s">
        <v>1463</v>
      </c>
      <c r="S476" s="43"/>
      <c r="T476" s="49">
        <v>45642</v>
      </c>
    </row>
    <row r="477" spans="1:20">
      <c r="A477" s="44" t="s">
        <v>4104</v>
      </c>
      <c r="B477" s="44"/>
      <c r="C477" s="45" t="s">
        <v>4105</v>
      </c>
      <c r="D477" s="44" t="s">
        <v>1419</v>
      </c>
      <c r="E477" s="44" t="s">
        <v>1460</v>
      </c>
      <c r="F477" s="51">
        <v>41457.382442442096</v>
      </c>
      <c r="G477" s="44" t="s">
        <v>1466</v>
      </c>
      <c r="H477" s="44" t="s">
        <v>4106</v>
      </c>
      <c r="I477" s="46"/>
      <c r="J477" s="46"/>
      <c r="K477" s="46"/>
      <c r="L477" s="46"/>
      <c r="M477" s="46"/>
      <c r="N477" s="46"/>
      <c r="O477" s="44"/>
      <c r="P477" s="44"/>
      <c r="Q477" s="44" t="s">
        <v>1463</v>
      </c>
      <c r="R477" s="44" t="s">
        <v>1463</v>
      </c>
      <c r="S477" s="43"/>
      <c r="T477" s="44"/>
    </row>
    <row r="478" spans="1:20" ht="26.45">
      <c r="A478" s="47" t="s">
        <v>206</v>
      </c>
      <c r="B478" s="47" t="s">
        <v>4107</v>
      </c>
      <c r="C478" s="48" t="s">
        <v>813</v>
      </c>
      <c r="D478" s="47" t="s">
        <v>1419</v>
      </c>
      <c r="E478" s="47" t="s">
        <v>1481</v>
      </c>
      <c r="F478" s="47"/>
      <c r="G478" s="47" t="s">
        <v>1466</v>
      </c>
      <c r="H478" s="47" t="s">
        <v>4108</v>
      </c>
      <c r="I478" s="50" t="s">
        <v>813</v>
      </c>
      <c r="J478" s="50" t="s">
        <v>4109</v>
      </c>
      <c r="K478" s="50" t="s">
        <v>4110</v>
      </c>
      <c r="L478" s="50" t="s">
        <v>1474</v>
      </c>
      <c r="M478" s="50" t="s">
        <v>4111</v>
      </c>
      <c r="N478" s="50" t="s">
        <v>1476</v>
      </c>
      <c r="O478" s="47" t="s">
        <v>4112</v>
      </c>
      <c r="P478" s="47" t="s">
        <v>4113</v>
      </c>
      <c r="Q478" s="47" t="s">
        <v>1463</v>
      </c>
      <c r="R478" s="47" t="s">
        <v>1463</v>
      </c>
      <c r="S478" s="43"/>
      <c r="T478" s="49">
        <v>45329</v>
      </c>
    </row>
    <row r="479" spans="1:20">
      <c r="A479" s="44" t="s">
        <v>4114</v>
      </c>
      <c r="B479" s="44"/>
      <c r="C479" s="45" t="s">
        <v>4115</v>
      </c>
      <c r="D479" s="44" t="s">
        <v>1420</v>
      </c>
      <c r="E479" s="44" t="s">
        <v>1460</v>
      </c>
      <c r="F479" s="51">
        <v>41474.645828159701</v>
      </c>
      <c r="G479" s="44" t="s">
        <v>1466</v>
      </c>
      <c r="H479" s="44"/>
      <c r="I479" s="46"/>
      <c r="J479" s="46"/>
      <c r="K479" s="46"/>
      <c r="L479" s="46"/>
      <c r="M479" s="46"/>
      <c r="N479" s="46"/>
      <c r="O479" s="44"/>
      <c r="P479" s="44"/>
      <c r="Q479" s="44" t="s">
        <v>1463</v>
      </c>
      <c r="R479" s="44" t="s">
        <v>1463</v>
      </c>
      <c r="S479" s="43"/>
      <c r="T479" s="44"/>
    </row>
    <row r="480" spans="1:20">
      <c r="A480" s="47" t="s">
        <v>4116</v>
      </c>
      <c r="B480" s="47"/>
      <c r="C480" s="48" t="s">
        <v>4117</v>
      </c>
      <c r="D480" s="47" t="s">
        <v>1420</v>
      </c>
      <c r="E480" s="47" t="s">
        <v>1460</v>
      </c>
      <c r="F480" s="49">
        <v>41474.645827002299</v>
      </c>
      <c r="G480" s="47" t="s">
        <v>1466</v>
      </c>
      <c r="H480" s="47"/>
      <c r="I480" s="50"/>
      <c r="J480" s="50"/>
      <c r="K480" s="50"/>
      <c r="L480" s="50"/>
      <c r="M480" s="50"/>
      <c r="N480" s="50"/>
      <c r="O480" s="47"/>
      <c r="P480" s="47"/>
      <c r="Q480" s="47" t="s">
        <v>1463</v>
      </c>
      <c r="R480" s="47" t="s">
        <v>1463</v>
      </c>
      <c r="S480" s="43"/>
      <c r="T480" s="47"/>
    </row>
    <row r="481" spans="1:20">
      <c r="A481" s="44" t="s">
        <v>4118</v>
      </c>
      <c r="B481" s="44"/>
      <c r="C481" s="45" t="s">
        <v>4119</v>
      </c>
      <c r="D481" s="44" t="s">
        <v>1430</v>
      </c>
      <c r="E481" s="44" t="s">
        <v>1460</v>
      </c>
      <c r="F481" s="51">
        <v>41457.382441585702</v>
      </c>
      <c r="G481" s="44" t="s">
        <v>1466</v>
      </c>
      <c r="H481" s="44"/>
      <c r="I481" s="46"/>
      <c r="J481" s="46"/>
      <c r="K481" s="46"/>
      <c r="L481" s="46"/>
      <c r="M481" s="46"/>
      <c r="N481" s="46"/>
      <c r="O481" s="44"/>
      <c r="P481" s="44"/>
      <c r="Q481" s="44" t="s">
        <v>1463</v>
      </c>
      <c r="R481" s="44" t="s">
        <v>1463</v>
      </c>
      <c r="S481" s="43"/>
      <c r="T481" s="44"/>
    </row>
    <row r="482" spans="1:20">
      <c r="A482" s="47" t="s">
        <v>4120</v>
      </c>
      <c r="B482" s="47"/>
      <c r="C482" s="48" t="s">
        <v>4121</v>
      </c>
      <c r="D482" s="47" t="s">
        <v>1416</v>
      </c>
      <c r="E482" s="47" t="s">
        <v>1460</v>
      </c>
      <c r="F482" s="49">
        <v>41457.3824425926</v>
      </c>
      <c r="G482" s="47" t="s">
        <v>1466</v>
      </c>
      <c r="H482" s="47"/>
      <c r="I482" s="50"/>
      <c r="J482" s="50"/>
      <c r="K482" s="50"/>
      <c r="L482" s="50"/>
      <c r="M482" s="50"/>
      <c r="N482" s="50"/>
      <c r="O482" s="47"/>
      <c r="P482" s="47"/>
      <c r="Q482" s="47" t="s">
        <v>1463</v>
      </c>
      <c r="R482" s="47" t="s">
        <v>1463</v>
      </c>
      <c r="S482" s="43"/>
      <c r="T482" s="47"/>
    </row>
    <row r="483" spans="1:20">
      <c r="A483" s="44" t="s">
        <v>4122</v>
      </c>
      <c r="B483" s="44"/>
      <c r="C483" s="45" t="s">
        <v>4123</v>
      </c>
      <c r="D483" s="44" t="s">
        <v>1420</v>
      </c>
      <c r="E483" s="44" t="s">
        <v>1460</v>
      </c>
      <c r="F483" s="51">
        <v>41474.645826041698</v>
      </c>
      <c r="G483" s="44" t="s">
        <v>1466</v>
      </c>
      <c r="H483" s="44"/>
      <c r="I483" s="46"/>
      <c r="J483" s="46"/>
      <c r="K483" s="46"/>
      <c r="L483" s="46"/>
      <c r="M483" s="46"/>
      <c r="N483" s="46"/>
      <c r="O483" s="44"/>
      <c r="P483" s="44"/>
      <c r="Q483" s="44" t="s">
        <v>1463</v>
      </c>
      <c r="R483" s="44" t="s">
        <v>1463</v>
      </c>
      <c r="S483" s="43"/>
      <c r="T483" s="44"/>
    </row>
    <row r="484" spans="1:20">
      <c r="A484" s="47" t="s">
        <v>4124</v>
      </c>
      <c r="B484" s="47"/>
      <c r="C484" s="48" t="s">
        <v>4125</v>
      </c>
      <c r="D484" s="47" t="s">
        <v>1420</v>
      </c>
      <c r="E484" s="47" t="s">
        <v>1460</v>
      </c>
      <c r="F484" s="49">
        <v>41474.6458200579</v>
      </c>
      <c r="G484" s="47" t="s">
        <v>1466</v>
      </c>
      <c r="H484" s="47"/>
      <c r="I484" s="50"/>
      <c r="J484" s="50"/>
      <c r="K484" s="50"/>
      <c r="L484" s="50"/>
      <c r="M484" s="50"/>
      <c r="N484" s="50"/>
      <c r="O484" s="47"/>
      <c r="P484" s="47"/>
      <c r="Q484" s="47" t="s">
        <v>1463</v>
      </c>
      <c r="R484" s="47" t="s">
        <v>1463</v>
      </c>
      <c r="S484" s="43"/>
      <c r="T484" s="47"/>
    </row>
    <row r="485" spans="1:20">
      <c r="A485" s="44" t="s">
        <v>4126</v>
      </c>
      <c r="B485" s="44"/>
      <c r="C485" s="45" t="s">
        <v>4127</v>
      </c>
      <c r="D485" s="44" t="s">
        <v>1434</v>
      </c>
      <c r="E485" s="44" t="s">
        <v>1460</v>
      </c>
      <c r="F485" s="51">
        <v>41457.382441319402</v>
      </c>
      <c r="G485" s="44" t="s">
        <v>1466</v>
      </c>
      <c r="H485" s="44"/>
      <c r="I485" s="46"/>
      <c r="J485" s="46"/>
      <c r="K485" s="46"/>
      <c r="L485" s="46"/>
      <c r="M485" s="46"/>
      <c r="N485" s="46"/>
      <c r="O485" s="44"/>
      <c r="P485" s="44"/>
      <c r="Q485" s="44" t="s">
        <v>1463</v>
      </c>
      <c r="R485" s="44" t="s">
        <v>1463</v>
      </c>
      <c r="S485" s="43"/>
      <c r="T485" s="44"/>
    </row>
    <row r="486" spans="1:20">
      <c r="A486" s="47" t="s">
        <v>4128</v>
      </c>
      <c r="B486" s="47"/>
      <c r="C486" s="48" t="s">
        <v>4129</v>
      </c>
      <c r="D486" s="47" t="s">
        <v>1420</v>
      </c>
      <c r="E486" s="47" t="s">
        <v>1460</v>
      </c>
      <c r="F486" s="49">
        <v>41474.645818286997</v>
      </c>
      <c r="G486" s="47" t="s">
        <v>1466</v>
      </c>
      <c r="H486" s="47"/>
      <c r="I486" s="50"/>
      <c r="J486" s="50"/>
      <c r="K486" s="50"/>
      <c r="L486" s="50"/>
      <c r="M486" s="50"/>
      <c r="N486" s="50"/>
      <c r="O486" s="47"/>
      <c r="P486" s="47"/>
      <c r="Q486" s="47" t="s">
        <v>1463</v>
      </c>
      <c r="R486" s="47" t="s">
        <v>1463</v>
      </c>
      <c r="S486" s="43"/>
      <c r="T486" s="47"/>
    </row>
    <row r="487" spans="1:20">
      <c r="A487" s="44" t="s">
        <v>4130</v>
      </c>
      <c r="B487" s="44" t="s">
        <v>4131</v>
      </c>
      <c r="C487" s="45" t="s">
        <v>4132</v>
      </c>
      <c r="D487" s="44" t="s">
        <v>1419</v>
      </c>
      <c r="E487" s="44" t="s">
        <v>1481</v>
      </c>
      <c r="F487" s="44"/>
      <c r="G487" s="44" t="s">
        <v>1466</v>
      </c>
      <c r="H487" s="44" t="s">
        <v>4133</v>
      </c>
      <c r="I487" s="46" t="s">
        <v>4132</v>
      </c>
      <c r="J487" s="46" t="s">
        <v>4134</v>
      </c>
      <c r="K487" s="46" t="s">
        <v>2061</v>
      </c>
      <c r="L487" s="46" t="s">
        <v>1504</v>
      </c>
      <c r="M487" s="46" t="s">
        <v>4135</v>
      </c>
      <c r="N487" s="46" t="s">
        <v>1641</v>
      </c>
      <c r="O487" s="44"/>
      <c r="P487" s="44"/>
      <c r="Q487" s="44" t="s">
        <v>1463</v>
      </c>
      <c r="R487" s="44" t="s">
        <v>1463</v>
      </c>
      <c r="S487" s="43"/>
      <c r="T487" s="51">
        <v>45684</v>
      </c>
    </row>
    <row r="488" spans="1:20" ht="26.45">
      <c r="A488" s="47" t="s">
        <v>4136</v>
      </c>
      <c r="B488" s="47" t="s">
        <v>4137</v>
      </c>
      <c r="C488" s="48" t="s">
        <v>4138</v>
      </c>
      <c r="D488" s="47" t="s">
        <v>1425</v>
      </c>
      <c r="E488" s="47" t="s">
        <v>1481</v>
      </c>
      <c r="F488" s="47"/>
      <c r="G488" s="47" t="s">
        <v>1490</v>
      </c>
      <c r="H488" s="47" t="s">
        <v>4139</v>
      </c>
      <c r="I488" s="50" t="s">
        <v>4140</v>
      </c>
      <c r="J488" s="50" t="s">
        <v>4141</v>
      </c>
      <c r="K488" s="50" t="s">
        <v>2112</v>
      </c>
      <c r="L488" s="50" t="s">
        <v>1474</v>
      </c>
      <c r="M488" s="50" t="s">
        <v>4095</v>
      </c>
      <c r="N488" s="50" t="s">
        <v>1629</v>
      </c>
      <c r="O488" s="47" t="s">
        <v>4142</v>
      </c>
      <c r="P488" s="47"/>
      <c r="Q488" s="47" t="s">
        <v>1463</v>
      </c>
      <c r="R488" s="47" t="s">
        <v>1463</v>
      </c>
      <c r="S488" s="43"/>
      <c r="T488" s="49">
        <v>44582</v>
      </c>
    </row>
    <row r="489" spans="1:20" ht="26.45">
      <c r="A489" s="44" t="s">
        <v>4143</v>
      </c>
      <c r="B489" s="44" t="s">
        <v>4144</v>
      </c>
      <c r="C489" s="45" t="s">
        <v>4145</v>
      </c>
      <c r="D489" s="44" t="s">
        <v>1410</v>
      </c>
      <c r="E489" s="44" t="s">
        <v>1460</v>
      </c>
      <c r="F489" s="51">
        <v>41474.645816550903</v>
      </c>
      <c r="G489" s="44" t="s">
        <v>1461</v>
      </c>
      <c r="H489" s="44"/>
      <c r="I489" s="46" t="s">
        <v>4145</v>
      </c>
      <c r="J489" s="46"/>
      <c r="K489" s="46"/>
      <c r="L489" s="46"/>
      <c r="M489" s="46"/>
      <c r="N489" s="46"/>
      <c r="O489" s="44" t="s">
        <v>4146</v>
      </c>
      <c r="P489" s="44"/>
      <c r="Q489" s="44" t="s">
        <v>1463</v>
      </c>
      <c r="R489" s="44" t="s">
        <v>1463</v>
      </c>
      <c r="S489" s="43"/>
      <c r="T489" s="44"/>
    </row>
    <row r="490" spans="1:20" ht="26.45">
      <c r="A490" s="47" t="s">
        <v>4147</v>
      </c>
      <c r="B490" s="47" t="s">
        <v>4148</v>
      </c>
      <c r="C490" s="48" t="s">
        <v>4149</v>
      </c>
      <c r="D490" s="47" t="s">
        <v>1425</v>
      </c>
      <c r="E490" s="47" t="s">
        <v>1481</v>
      </c>
      <c r="F490" s="47"/>
      <c r="G490" s="47" t="s">
        <v>1490</v>
      </c>
      <c r="H490" s="47" t="s">
        <v>4150</v>
      </c>
      <c r="I490" s="50" t="s">
        <v>4151</v>
      </c>
      <c r="J490" s="50" t="s">
        <v>4152</v>
      </c>
      <c r="K490" s="50" t="s">
        <v>4153</v>
      </c>
      <c r="L490" s="50" t="s">
        <v>1504</v>
      </c>
      <c r="M490" s="50" t="s">
        <v>2622</v>
      </c>
      <c r="N490" s="50" t="s">
        <v>1495</v>
      </c>
      <c r="O490" s="47"/>
      <c r="P490" s="47"/>
      <c r="Q490" s="47" t="s">
        <v>1463</v>
      </c>
      <c r="R490" s="47" t="s">
        <v>1463</v>
      </c>
      <c r="S490" s="43"/>
      <c r="T490" s="47"/>
    </row>
    <row r="491" spans="1:20" ht="26.45">
      <c r="A491" s="44" t="s">
        <v>207</v>
      </c>
      <c r="B491" s="44" t="s">
        <v>4154</v>
      </c>
      <c r="C491" s="45" t="s">
        <v>814</v>
      </c>
      <c r="D491" s="44" t="s">
        <v>1419</v>
      </c>
      <c r="E491" s="44" t="s">
        <v>1481</v>
      </c>
      <c r="F491" s="44"/>
      <c r="G491" s="44" t="s">
        <v>1466</v>
      </c>
      <c r="H491" s="44" t="s">
        <v>4155</v>
      </c>
      <c r="I491" s="46" t="s">
        <v>4156</v>
      </c>
      <c r="J491" s="46" t="s">
        <v>4157</v>
      </c>
      <c r="K491" s="46" t="s">
        <v>2061</v>
      </c>
      <c r="L491" s="46" t="s">
        <v>1474</v>
      </c>
      <c r="M491" s="46" t="s">
        <v>4158</v>
      </c>
      <c r="N491" s="46" t="s">
        <v>1641</v>
      </c>
      <c r="O491" s="44" t="s">
        <v>4159</v>
      </c>
      <c r="P491" s="44" t="s">
        <v>4160</v>
      </c>
      <c r="Q491" s="44" t="s">
        <v>1463</v>
      </c>
      <c r="R491" s="44" t="s">
        <v>1463</v>
      </c>
      <c r="S491" s="43"/>
      <c r="T491" s="51">
        <v>45628</v>
      </c>
    </row>
    <row r="492" spans="1:20" ht="26.45">
      <c r="A492" s="47" t="s">
        <v>815</v>
      </c>
      <c r="B492" s="47" t="s">
        <v>4161</v>
      </c>
      <c r="C492" s="48" t="s">
        <v>816</v>
      </c>
      <c r="D492" s="47" t="s">
        <v>1430</v>
      </c>
      <c r="E492" s="47" t="s">
        <v>1481</v>
      </c>
      <c r="F492" s="47"/>
      <c r="G492" s="47" t="s">
        <v>1466</v>
      </c>
      <c r="H492" s="47" t="s">
        <v>4162</v>
      </c>
      <c r="I492" s="50" t="s">
        <v>4163</v>
      </c>
      <c r="J492" s="50" t="s">
        <v>4164</v>
      </c>
      <c r="K492" s="50" t="s">
        <v>3337</v>
      </c>
      <c r="L492" s="50" t="s">
        <v>1504</v>
      </c>
      <c r="M492" s="50" t="s">
        <v>4165</v>
      </c>
      <c r="N492" s="50" t="s">
        <v>1641</v>
      </c>
      <c r="O492" s="47" t="s">
        <v>4166</v>
      </c>
      <c r="P492" s="47" t="s">
        <v>4167</v>
      </c>
      <c r="Q492" s="47" t="s">
        <v>1463</v>
      </c>
      <c r="R492" s="47" t="s">
        <v>1463</v>
      </c>
      <c r="S492" s="43"/>
      <c r="T492" s="49">
        <v>45553</v>
      </c>
    </row>
    <row r="493" spans="1:20" ht="26.45">
      <c r="A493" s="44" t="s">
        <v>4168</v>
      </c>
      <c r="B493" s="44" t="s">
        <v>4169</v>
      </c>
      <c r="C493" s="45" t="s">
        <v>4170</v>
      </c>
      <c r="D493" s="44" t="s">
        <v>1430</v>
      </c>
      <c r="E493" s="44" t="s">
        <v>1481</v>
      </c>
      <c r="F493" s="44"/>
      <c r="G493" s="44" t="s">
        <v>1490</v>
      </c>
      <c r="H493" s="44" t="s">
        <v>4171</v>
      </c>
      <c r="I493" s="46" t="s">
        <v>4172</v>
      </c>
      <c r="J493" s="46" t="s">
        <v>4173</v>
      </c>
      <c r="K493" s="46" t="s">
        <v>3337</v>
      </c>
      <c r="L493" s="46" t="s">
        <v>1504</v>
      </c>
      <c r="M493" s="46" t="s">
        <v>4174</v>
      </c>
      <c r="N493" s="46" t="s">
        <v>1641</v>
      </c>
      <c r="O493" s="44" t="s">
        <v>2262</v>
      </c>
      <c r="P493" s="44"/>
      <c r="Q493" s="44" t="s">
        <v>1463</v>
      </c>
      <c r="R493" s="44" t="s">
        <v>1463</v>
      </c>
      <c r="S493" s="43"/>
      <c r="T493" s="51">
        <v>43249</v>
      </c>
    </row>
    <row r="494" spans="1:20" ht="26.45">
      <c r="A494" s="47" t="s">
        <v>208</v>
      </c>
      <c r="B494" s="47" t="s">
        <v>4175</v>
      </c>
      <c r="C494" s="48" t="s">
        <v>817</v>
      </c>
      <c r="D494" s="47" t="s">
        <v>1430</v>
      </c>
      <c r="E494" s="47" t="s">
        <v>1481</v>
      </c>
      <c r="F494" s="47"/>
      <c r="G494" s="47" t="s">
        <v>1466</v>
      </c>
      <c r="H494" s="47" t="s">
        <v>4176</v>
      </c>
      <c r="I494" s="50" t="s">
        <v>4177</v>
      </c>
      <c r="J494" s="50" t="s">
        <v>4178</v>
      </c>
      <c r="K494" s="50" t="s">
        <v>3337</v>
      </c>
      <c r="L494" s="50" t="s">
        <v>1474</v>
      </c>
      <c r="M494" s="50" t="s">
        <v>4179</v>
      </c>
      <c r="N494" s="50" t="s">
        <v>1641</v>
      </c>
      <c r="O494" s="47" t="s">
        <v>4180</v>
      </c>
      <c r="P494" s="47" t="s">
        <v>4181</v>
      </c>
      <c r="Q494" s="47" t="s">
        <v>1463</v>
      </c>
      <c r="R494" s="47" t="s">
        <v>1463</v>
      </c>
      <c r="S494" s="43"/>
      <c r="T494" s="49">
        <v>45580</v>
      </c>
    </row>
    <row r="495" spans="1:20" ht="26.45">
      <c r="A495" s="44" t="s">
        <v>209</v>
      </c>
      <c r="B495" s="44" t="s">
        <v>4182</v>
      </c>
      <c r="C495" s="45" t="s">
        <v>818</v>
      </c>
      <c r="D495" s="44" t="s">
        <v>1430</v>
      </c>
      <c r="E495" s="44" t="s">
        <v>1481</v>
      </c>
      <c r="F495" s="44"/>
      <c r="G495" s="44" t="s">
        <v>1466</v>
      </c>
      <c r="H495" s="44" t="s">
        <v>4183</v>
      </c>
      <c r="I495" s="46" t="s">
        <v>4184</v>
      </c>
      <c r="J495" s="46" t="s">
        <v>4185</v>
      </c>
      <c r="K495" s="46" t="s">
        <v>3337</v>
      </c>
      <c r="L495" s="46" t="s">
        <v>1474</v>
      </c>
      <c r="M495" s="46" t="s">
        <v>4186</v>
      </c>
      <c r="N495" s="46" t="s">
        <v>1641</v>
      </c>
      <c r="O495" s="44" t="s">
        <v>4187</v>
      </c>
      <c r="P495" s="44" t="s">
        <v>4188</v>
      </c>
      <c r="Q495" s="44" t="s">
        <v>1463</v>
      </c>
      <c r="R495" s="44" t="s">
        <v>1463</v>
      </c>
      <c r="S495" s="43"/>
      <c r="T495" s="51">
        <v>45446</v>
      </c>
    </row>
    <row r="496" spans="1:20" ht="26.45">
      <c r="A496" s="47" t="s">
        <v>210</v>
      </c>
      <c r="B496" s="47" t="s">
        <v>4189</v>
      </c>
      <c r="C496" s="48" t="s">
        <v>819</v>
      </c>
      <c r="D496" s="47" t="s">
        <v>1430</v>
      </c>
      <c r="E496" s="47" t="s">
        <v>1481</v>
      </c>
      <c r="F496" s="47"/>
      <c r="G496" s="47" t="s">
        <v>1687</v>
      </c>
      <c r="H496" s="47" t="s">
        <v>4190</v>
      </c>
      <c r="I496" s="50" t="s">
        <v>4191</v>
      </c>
      <c r="J496" s="50" t="s">
        <v>4192</v>
      </c>
      <c r="K496" s="50" t="s">
        <v>2432</v>
      </c>
      <c r="L496" s="50" t="s">
        <v>1474</v>
      </c>
      <c r="M496" s="50" t="s">
        <v>4193</v>
      </c>
      <c r="N496" s="50" t="s">
        <v>1531</v>
      </c>
      <c r="O496" s="47" t="s">
        <v>4194</v>
      </c>
      <c r="P496" s="47" t="s">
        <v>4195</v>
      </c>
      <c r="Q496" s="47" t="s">
        <v>1463</v>
      </c>
      <c r="R496" s="47" t="s">
        <v>1463</v>
      </c>
      <c r="S496" s="43"/>
      <c r="T496" s="49">
        <v>45394</v>
      </c>
    </row>
    <row r="497" spans="1:20" ht="26.45">
      <c r="A497" s="44" t="s">
        <v>211</v>
      </c>
      <c r="B497" s="44" t="s">
        <v>4196</v>
      </c>
      <c r="C497" s="45" t="s">
        <v>820</v>
      </c>
      <c r="D497" s="44" t="s">
        <v>1410</v>
      </c>
      <c r="E497" s="44" t="s">
        <v>1481</v>
      </c>
      <c r="F497" s="44"/>
      <c r="G497" s="44" t="s">
        <v>1687</v>
      </c>
      <c r="H497" s="44" t="s">
        <v>4197</v>
      </c>
      <c r="I497" s="46" t="s">
        <v>4198</v>
      </c>
      <c r="J497" s="46" t="s">
        <v>4199</v>
      </c>
      <c r="K497" s="46" t="s">
        <v>4200</v>
      </c>
      <c r="L497" s="46" t="s">
        <v>1474</v>
      </c>
      <c r="M497" s="46" t="s">
        <v>4201</v>
      </c>
      <c r="N497" s="46" t="s">
        <v>1476</v>
      </c>
      <c r="O497" s="44" t="s">
        <v>4202</v>
      </c>
      <c r="P497" s="44" t="s">
        <v>4203</v>
      </c>
      <c r="Q497" s="44" t="s">
        <v>1695</v>
      </c>
      <c r="R497" s="44" t="s">
        <v>1463</v>
      </c>
      <c r="S497" s="43"/>
      <c r="T497" s="51">
        <v>45321</v>
      </c>
    </row>
    <row r="498" spans="1:20" ht="26.45">
      <c r="A498" s="47" t="s">
        <v>212</v>
      </c>
      <c r="B498" s="47" t="s">
        <v>4204</v>
      </c>
      <c r="C498" s="48" t="s">
        <v>821</v>
      </c>
      <c r="D498" s="47" t="s">
        <v>1414</v>
      </c>
      <c r="E498" s="47" t="s">
        <v>1481</v>
      </c>
      <c r="F498" s="47"/>
      <c r="G498" s="47" t="s">
        <v>1687</v>
      </c>
      <c r="H498" s="47" t="s">
        <v>4205</v>
      </c>
      <c r="I498" s="50" t="s">
        <v>4206</v>
      </c>
      <c r="J498" s="50" t="s">
        <v>4207</v>
      </c>
      <c r="K498" s="50" t="s">
        <v>1484</v>
      </c>
      <c r="L498" s="50" t="s">
        <v>1504</v>
      </c>
      <c r="M498" s="50" t="s">
        <v>4208</v>
      </c>
      <c r="N498" s="50" t="s">
        <v>1495</v>
      </c>
      <c r="O498" s="47" t="s">
        <v>4209</v>
      </c>
      <c r="P498" s="47" t="s">
        <v>4210</v>
      </c>
      <c r="Q498" s="47" t="s">
        <v>1695</v>
      </c>
      <c r="R498" s="47" t="s">
        <v>1463</v>
      </c>
      <c r="S498" s="43"/>
      <c r="T498" s="49">
        <v>45488</v>
      </c>
    </row>
    <row r="499" spans="1:20" ht="26.45">
      <c r="A499" s="44" t="s">
        <v>4211</v>
      </c>
      <c r="B499" s="44" t="s">
        <v>4212</v>
      </c>
      <c r="C499" s="45" t="s">
        <v>4213</v>
      </c>
      <c r="D499" s="44" t="s">
        <v>1419</v>
      </c>
      <c r="E499" s="44" t="s">
        <v>1481</v>
      </c>
      <c r="F499" s="44"/>
      <c r="G499" s="44" t="s">
        <v>1585</v>
      </c>
      <c r="H499" s="44"/>
      <c r="I499" s="46" t="s">
        <v>4213</v>
      </c>
      <c r="J499" s="46" t="s">
        <v>4214</v>
      </c>
      <c r="K499" s="46" t="s">
        <v>4215</v>
      </c>
      <c r="L499" s="46" t="s">
        <v>1504</v>
      </c>
      <c r="M499" s="46" t="s">
        <v>4216</v>
      </c>
      <c r="N499" s="46" t="s">
        <v>1744</v>
      </c>
      <c r="O499" s="44"/>
      <c r="P499" s="44"/>
      <c r="Q499" s="44" t="s">
        <v>1463</v>
      </c>
      <c r="R499" s="44" t="s">
        <v>1463</v>
      </c>
      <c r="S499" s="43"/>
      <c r="T499" s="51">
        <v>42633</v>
      </c>
    </row>
    <row r="500" spans="1:20">
      <c r="A500" s="47" t="s">
        <v>4217</v>
      </c>
      <c r="B500" s="47" t="s">
        <v>4218</v>
      </c>
      <c r="C500" s="48" t="s">
        <v>4219</v>
      </c>
      <c r="D500" s="47" t="s">
        <v>1419</v>
      </c>
      <c r="E500" s="47" t="s">
        <v>1460</v>
      </c>
      <c r="F500" s="49">
        <v>43901.730490706002</v>
      </c>
      <c r="G500" s="47" t="s">
        <v>1466</v>
      </c>
      <c r="H500" s="47" t="s">
        <v>4220</v>
      </c>
      <c r="I500" s="50" t="s">
        <v>4221</v>
      </c>
      <c r="J500" s="50" t="s">
        <v>4222</v>
      </c>
      <c r="K500" s="50" t="s">
        <v>2061</v>
      </c>
      <c r="L500" s="50" t="s">
        <v>1474</v>
      </c>
      <c r="M500" s="50" t="s">
        <v>4223</v>
      </c>
      <c r="N500" s="50" t="s">
        <v>1525</v>
      </c>
      <c r="O500" s="47" t="s">
        <v>4224</v>
      </c>
      <c r="P500" s="47"/>
      <c r="Q500" s="47" t="s">
        <v>1463</v>
      </c>
      <c r="R500" s="47" t="s">
        <v>1463</v>
      </c>
      <c r="S500" s="43"/>
      <c r="T500" s="49">
        <v>44263</v>
      </c>
    </row>
    <row r="501" spans="1:20">
      <c r="A501" s="44" t="s">
        <v>4225</v>
      </c>
      <c r="B501" s="44" t="s">
        <v>4226</v>
      </c>
      <c r="C501" s="45" t="s">
        <v>4227</v>
      </c>
      <c r="D501" s="44" t="s">
        <v>1424</v>
      </c>
      <c r="E501" s="44" t="s">
        <v>1481</v>
      </c>
      <c r="F501" s="44"/>
      <c r="G501" s="44" t="s">
        <v>1687</v>
      </c>
      <c r="H501" s="44"/>
      <c r="I501" s="46" t="s">
        <v>4227</v>
      </c>
      <c r="J501" s="46" t="s">
        <v>4228</v>
      </c>
      <c r="K501" s="46" t="s">
        <v>1493</v>
      </c>
      <c r="L501" s="46" t="s">
        <v>1504</v>
      </c>
      <c r="M501" s="46" t="s">
        <v>4229</v>
      </c>
      <c r="N501" s="46"/>
      <c r="O501" s="44"/>
      <c r="P501" s="44"/>
      <c r="Q501" s="44" t="s">
        <v>1463</v>
      </c>
      <c r="R501" s="44" t="s">
        <v>1463</v>
      </c>
      <c r="S501" s="43"/>
      <c r="T501" s="44"/>
    </row>
    <row r="502" spans="1:20">
      <c r="A502" s="47" t="s">
        <v>4230</v>
      </c>
      <c r="B502" s="47"/>
      <c r="C502" s="48" t="s">
        <v>4231</v>
      </c>
      <c r="D502" s="47" t="s">
        <v>1428</v>
      </c>
      <c r="E502" s="47" t="s">
        <v>1460</v>
      </c>
      <c r="F502" s="49">
        <v>41584.992332951399</v>
      </c>
      <c r="G502" s="47" t="s">
        <v>1687</v>
      </c>
      <c r="H502" s="47"/>
      <c r="I502" s="50"/>
      <c r="J502" s="50"/>
      <c r="K502" s="50"/>
      <c r="L502" s="50"/>
      <c r="M502" s="50"/>
      <c r="N502" s="50"/>
      <c r="O502" s="47"/>
      <c r="P502" s="47"/>
      <c r="Q502" s="47" t="s">
        <v>1695</v>
      </c>
      <c r="R502" s="47" t="s">
        <v>1463</v>
      </c>
      <c r="S502" s="43"/>
      <c r="T502" s="47"/>
    </row>
    <row r="503" spans="1:20" ht="26.45">
      <c r="A503" s="44" t="s">
        <v>213</v>
      </c>
      <c r="B503" s="44" t="s">
        <v>4232</v>
      </c>
      <c r="C503" s="45" t="s">
        <v>822</v>
      </c>
      <c r="D503" s="44" t="s">
        <v>1428</v>
      </c>
      <c r="E503" s="44" t="s">
        <v>1481</v>
      </c>
      <c r="F503" s="44"/>
      <c r="G503" s="44" t="s">
        <v>1687</v>
      </c>
      <c r="H503" s="44" t="s">
        <v>4233</v>
      </c>
      <c r="I503" s="46" t="s">
        <v>4234</v>
      </c>
      <c r="J503" s="46" t="s">
        <v>4235</v>
      </c>
      <c r="K503" s="46" t="s">
        <v>4236</v>
      </c>
      <c r="L503" s="46" t="s">
        <v>1504</v>
      </c>
      <c r="M503" s="46" t="s">
        <v>4237</v>
      </c>
      <c r="N503" s="46" t="s">
        <v>1525</v>
      </c>
      <c r="O503" s="44" t="s">
        <v>4238</v>
      </c>
      <c r="P503" s="44" t="s">
        <v>4239</v>
      </c>
      <c r="Q503" s="44" t="s">
        <v>1695</v>
      </c>
      <c r="R503" s="44" t="s">
        <v>1463</v>
      </c>
      <c r="S503" s="43"/>
      <c r="T503" s="51">
        <v>45348</v>
      </c>
    </row>
    <row r="504" spans="1:20" ht="26.45">
      <c r="A504" s="47" t="s">
        <v>214</v>
      </c>
      <c r="B504" s="47" t="s">
        <v>4240</v>
      </c>
      <c r="C504" s="48" t="s">
        <v>823</v>
      </c>
      <c r="D504" s="47" t="s">
        <v>1433</v>
      </c>
      <c r="E504" s="47" t="s">
        <v>1481</v>
      </c>
      <c r="F504" s="47"/>
      <c r="G504" s="47" t="s">
        <v>1687</v>
      </c>
      <c r="H504" s="47" t="s">
        <v>4241</v>
      </c>
      <c r="I504" s="50" t="s">
        <v>4242</v>
      </c>
      <c r="J504" s="50" t="s">
        <v>4243</v>
      </c>
      <c r="K504" s="50" t="s">
        <v>4244</v>
      </c>
      <c r="L504" s="50" t="s">
        <v>1504</v>
      </c>
      <c r="M504" s="50" t="s">
        <v>4245</v>
      </c>
      <c r="N504" s="50" t="s">
        <v>1641</v>
      </c>
      <c r="O504" s="47" t="s">
        <v>4246</v>
      </c>
      <c r="P504" s="47" t="s">
        <v>4247</v>
      </c>
      <c r="Q504" s="47" t="s">
        <v>1695</v>
      </c>
      <c r="R504" s="47" t="s">
        <v>1463</v>
      </c>
      <c r="S504" s="43"/>
      <c r="T504" s="49">
        <v>45451</v>
      </c>
    </row>
    <row r="505" spans="1:20">
      <c r="A505" s="44" t="s">
        <v>4248</v>
      </c>
      <c r="B505" s="44" t="s">
        <v>4249</v>
      </c>
      <c r="C505" s="45" t="s">
        <v>4250</v>
      </c>
      <c r="D505" s="44" t="s">
        <v>1432</v>
      </c>
      <c r="E505" s="44" t="s">
        <v>1460</v>
      </c>
      <c r="F505" s="51">
        <v>42612.947266666699</v>
      </c>
      <c r="G505" s="44" t="s">
        <v>1466</v>
      </c>
      <c r="H505" s="44" t="s">
        <v>4251</v>
      </c>
      <c r="I505" s="46" t="s">
        <v>4250</v>
      </c>
      <c r="J505" s="46" t="s">
        <v>4252</v>
      </c>
      <c r="K505" s="46" t="s">
        <v>4253</v>
      </c>
      <c r="L505" s="46" t="s">
        <v>1504</v>
      </c>
      <c r="M505" s="46" t="s">
        <v>4254</v>
      </c>
      <c r="N505" s="46" t="s">
        <v>1641</v>
      </c>
      <c r="O505" s="44" t="s">
        <v>4255</v>
      </c>
      <c r="P505" s="44"/>
      <c r="Q505" s="44" t="s">
        <v>1463</v>
      </c>
      <c r="R505" s="44" t="s">
        <v>1463</v>
      </c>
      <c r="S505" s="43"/>
      <c r="T505" s="51">
        <v>42852</v>
      </c>
    </row>
    <row r="506" spans="1:20">
      <c r="A506" s="47" t="s">
        <v>4256</v>
      </c>
      <c r="B506" s="47" t="s">
        <v>4257</v>
      </c>
      <c r="C506" s="48" t="s">
        <v>4258</v>
      </c>
      <c r="D506" s="47" t="s">
        <v>1419</v>
      </c>
      <c r="E506" s="47" t="s">
        <v>1460</v>
      </c>
      <c r="F506" s="49">
        <v>44252.880541319399</v>
      </c>
      <c r="G506" s="47" t="s">
        <v>1466</v>
      </c>
      <c r="H506" s="47" t="s">
        <v>4259</v>
      </c>
      <c r="I506" s="50" t="s">
        <v>4260</v>
      </c>
      <c r="J506" s="50" t="s">
        <v>4261</v>
      </c>
      <c r="K506" s="50" t="s">
        <v>4262</v>
      </c>
      <c r="L506" s="50" t="s">
        <v>1504</v>
      </c>
      <c r="M506" s="50" t="s">
        <v>4263</v>
      </c>
      <c r="N506" s="50" t="s">
        <v>1525</v>
      </c>
      <c r="O506" s="47" t="s">
        <v>4264</v>
      </c>
      <c r="P506" s="47"/>
      <c r="Q506" s="47" t="s">
        <v>1463</v>
      </c>
      <c r="R506" s="47" t="s">
        <v>1463</v>
      </c>
      <c r="S506" s="43"/>
      <c r="T506" s="49">
        <v>44501</v>
      </c>
    </row>
    <row r="507" spans="1:20" ht="26.45">
      <c r="A507" s="44" t="s">
        <v>215</v>
      </c>
      <c r="B507" s="44" t="s">
        <v>4265</v>
      </c>
      <c r="C507" s="45" t="s">
        <v>824</v>
      </c>
      <c r="D507" s="44" t="s">
        <v>1419</v>
      </c>
      <c r="E507" s="44" t="s">
        <v>1481</v>
      </c>
      <c r="F507" s="44"/>
      <c r="G507" s="44" t="s">
        <v>1687</v>
      </c>
      <c r="H507" s="44" t="s">
        <v>4266</v>
      </c>
      <c r="I507" s="46" t="s">
        <v>4267</v>
      </c>
      <c r="J507" s="46" t="s">
        <v>4268</v>
      </c>
      <c r="K507" s="46" t="s">
        <v>4269</v>
      </c>
      <c r="L507" s="46" t="s">
        <v>1474</v>
      </c>
      <c r="M507" s="46" t="s">
        <v>4270</v>
      </c>
      <c r="N507" s="46" t="s">
        <v>1641</v>
      </c>
      <c r="O507" s="44" t="s">
        <v>4271</v>
      </c>
      <c r="P507" s="44" t="s">
        <v>4272</v>
      </c>
      <c r="Q507" s="44" t="s">
        <v>1695</v>
      </c>
      <c r="R507" s="44" t="s">
        <v>1463</v>
      </c>
      <c r="S507" s="43"/>
      <c r="T507" s="51">
        <v>45688</v>
      </c>
    </row>
    <row r="508" spans="1:20" ht="26.45">
      <c r="A508" s="47" t="s">
        <v>216</v>
      </c>
      <c r="B508" s="47" t="s">
        <v>4273</v>
      </c>
      <c r="C508" s="48" t="s">
        <v>825</v>
      </c>
      <c r="D508" s="47" t="s">
        <v>1419</v>
      </c>
      <c r="E508" s="47" t="s">
        <v>1481</v>
      </c>
      <c r="F508" s="47"/>
      <c r="G508" s="47" t="s">
        <v>1687</v>
      </c>
      <c r="H508" s="47" t="s">
        <v>4274</v>
      </c>
      <c r="I508" s="50" t="s">
        <v>4275</v>
      </c>
      <c r="J508" s="50" t="s">
        <v>4276</v>
      </c>
      <c r="K508" s="50" t="s">
        <v>1493</v>
      </c>
      <c r="L508" s="50" t="s">
        <v>1504</v>
      </c>
      <c r="M508" s="50" t="s">
        <v>4277</v>
      </c>
      <c r="N508" s="50" t="s">
        <v>1495</v>
      </c>
      <c r="O508" s="47" t="s">
        <v>4278</v>
      </c>
      <c r="P508" s="47" t="s">
        <v>4279</v>
      </c>
      <c r="Q508" s="47" t="s">
        <v>1695</v>
      </c>
      <c r="R508" s="47" t="s">
        <v>1463</v>
      </c>
      <c r="S508" s="43"/>
      <c r="T508" s="49">
        <v>45405</v>
      </c>
    </row>
    <row r="509" spans="1:20">
      <c r="A509" s="44" t="s">
        <v>4280</v>
      </c>
      <c r="B509" s="44"/>
      <c r="C509" s="45" t="s">
        <v>4281</v>
      </c>
      <c r="D509" s="44" t="s">
        <v>1419</v>
      </c>
      <c r="E509" s="44" t="s">
        <v>1460</v>
      </c>
      <c r="F509" s="51">
        <v>41457.382442708302</v>
      </c>
      <c r="G509" s="44" t="s">
        <v>1466</v>
      </c>
      <c r="H509" s="44"/>
      <c r="I509" s="46"/>
      <c r="J509" s="46"/>
      <c r="K509" s="46"/>
      <c r="L509" s="46"/>
      <c r="M509" s="46"/>
      <c r="N509" s="46"/>
      <c r="O509" s="44"/>
      <c r="P509" s="44"/>
      <c r="Q509" s="44" t="s">
        <v>1463</v>
      </c>
      <c r="R509" s="44" t="s">
        <v>1463</v>
      </c>
      <c r="S509" s="43"/>
      <c r="T509" s="44"/>
    </row>
    <row r="510" spans="1:20">
      <c r="A510" s="47" t="s">
        <v>4282</v>
      </c>
      <c r="B510" s="47"/>
      <c r="C510" s="48" t="s">
        <v>4283</v>
      </c>
      <c r="D510" s="47" t="s">
        <v>1419</v>
      </c>
      <c r="E510" s="47" t="s">
        <v>1460</v>
      </c>
      <c r="F510" s="49">
        <v>41457.382442210597</v>
      </c>
      <c r="G510" s="47" t="s">
        <v>1466</v>
      </c>
      <c r="H510" s="47"/>
      <c r="I510" s="50"/>
      <c r="J510" s="50"/>
      <c r="K510" s="50"/>
      <c r="L510" s="50"/>
      <c r="M510" s="50"/>
      <c r="N510" s="50"/>
      <c r="O510" s="47"/>
      <c r="P510" s="47"/>
      <c r="Q510" s="47" t="s">
        <v>1463</v>
      </c>
      <c r="R510" s="47" t="s">
        <v>1463</v>
      </c>
      <c r="S510" s="43"/>
      <c r="T510" s="47"/>
    </row>
    <row r="511" spans="1:20" ht="26.45">
      <c r="A511" s="44" t="s">
        <v>217</v>
      </c>
      <c r="B511" s="44" t="s">
        <v>4284</v>
      </c>
      <c r="C511" s="45" t="s">
        <v>826</v>
      </c>
      <c r="D511" s="44" t="s">
        <v>1419</v>
      </c>
      <c r="E511" s="44" t="s">
        <v>1481</v>
      </c>
      <c r="F511" s="44"/>
      <c r="G511" s="44" t="s">
        <v>1466</v>
      </c>
      <c r="H511" s="44" t="s">
        <v>4285</v>
      </c>
      <c r="I511" s="46" t="s">
        <v>4286</v>
      </c>
      <c r="J511" s="46" t="s">
        <v>4287</v>
      </c>
      <c r="K511" s="46" t="s">
        <v>1493</v>
      </c>
      <c r="L511" s="46" t="s">
        <v>1504</v>
      </c>
      <c r="M511" s="46" t="s">
        <v>4288</v>
      </c>
      <c r="N511" s="46" t="s">
        <v>1641</v>
      </c>
      <c r="O511" s="44" t="s">
        <v>4289</v>
      </c>
      <c r="P511" s="44" t="s">
        <v>4290</v>
      </c>
      <c r="Q511" s="44" t="s">
        <v>1463</v>
      </c>
      <c r="R511" s="44" t="s">
        <v>1463</v>
      </c>
      <c r="S511" s="43"/>
      <c r="T511" s="51">
        <v>45631</v>
      </c>
    </row>
    <row r="512" spans="1:20" ht="26.45">
      <c r="A512" s="47" t="s">
        <v>218</v>
      </c>
      <c r="B512" s="47" t="s">
        <v>4291</v>
      </c>
      <c r="C512" s="48" t="s">
        <v>826</v>
      </c>
      <c r="D512" s="47" t="s">
        <v>1420</v>
      </c>
      <c r="E512" s="47" t="s">
        <v>1481</v>
      </c>
      <c r="F512" s="47"/>
      <c r="G512" s="47" t="s">
        <v>1466</v>
      </c>
      <c r="H512" s="47" t="s">
        <v>4292</v>
      </c>
      <c r="I512" s="50" t="s">
        <v>4286</v>
      </c>
      <c r="J512" s="50" t="s">
        <v>4293</v>
      </c>
      <c r="K512" s="50" t="s">
        <v>1654</v>
      </c>
      <c r="L512" s="50" t="s">
        <v>1474</v>
      </c>
      <c r="M512" s="50" t="s">
        <v>4294</v>
      </c>
      <c r="N512" s="50" t="s">
        <v>1531</v>
      </c>
      <c r="O512" s="47" t="s">
        <v>4295</v>
      </c>
      <c r="P512" s="47" t="s">
        <v>4296</v>
      </c>
      <c r="Q512" s="47" t="s">
        <v>1463</v>
      </c>
      <c r="R512" s="47" t="s">
        <v>1463</v>
      </c>
      <c r="S512" s="43"/>
      <c r="T512" s="49">
        <v>45632</v>
      </c>
    </row>
    <row r="513" spans="1:20" ht="26.45">
      <c r="A513" s="44" t="s">
        <v>219</v>
      </c>
      <c r="B513" s="44" t="s">
        <v>4297</v>
      </c>
      <c r="C513" s="45" t="s">
        <v>827</v>
      </c>
      <c r="D513" s="44" t="s">
        <v>1430</v>
      </c>
      <c r="E513" s="44" t="s">
        <v>1481</v>
      </c>
      <c r="F513" s="44"/>
      <c r="G513" s="44" t="s">
        <v>1687</v>
      </c>
      <c r="H513" s="44" t="s">
        <v>4298</v>
      </c>
      <c r="I513" s="46" t="s">
        <v>4299</v>
      </c>
      <c r="J513" s="46" t="s">
        <v>4300</v>
      </c>
      <c r="K513" s="46" t="s">
        <v>4301</v>
      </c>
      <c r="L513" s="46" t="s">
        <v>1474</v>
      </c>
      <c r="M513" s="46" t="s">
        <v>4302</v>
      </c>
      <c r="N513" s="46" t="s">
        <v>1531</v>
      </c>
      <c r="O513" s="44" t="s">
        <v>4303</v>
      </c>
      <c r="P513" s="44" t="s">
        <v>4304</v>
      </c>
      <c r="Q513" s="44" t="s">
        <v>1695</v>
      </c>
      <c r="R513" s="44" t="s">
        <v>1463</v>
      </c>
      <c r="S513" s="43"/>
      <c r="T513" s="51">
        <v>45686</v>
      </c>
    </row>
    <row r="514" spans="1:20" ht="26.45">
      <c r="A514" s="47" t="s">
        <v>220</v>
      </c>
      <c r="B514" s="47" t="s">
        <v>4305</v>
      </c>
      <c r="C514" s="48" t="s">
        <v>828</v>
      </c>
      <c r="D514" s="47" t="s">
        <v>1419</v>
      </c>
      <c r="E514" s="47" t="s">
        <v>1481</v>
      </c>
      <c r="F514" s="47"/>
      <c r="G514" s="47" t="s">
        <v>1466</v>
      </c>
      <c r="H514" s="47" t="s">
        <v>4306</v>
      </c>
      <c r="I514" s="50" t="s">
        <v>4307</v>
      </c>
      <c r="J514" s="50" t="s">
        <v>4308</v>
      </c>
      <c r="K514" s="50" t="s">
        <v>1493</v>
      </c>
      <c r="L514" s="50" t="s">
        <v>1504</v>
      </c>
      <c r="M514" s="50" t="s">
        <v>4309</v>
      </c>
      <c r="N514" s="50" t="s">
        <v>1525</v>
      </c>
      <c r="O514" s="47" t="s">
        <v>4310</v>
      </c>
      <c r="P514" s="47" t="s">
        <v>4311</v>
      </c>
      <c r="Q514" s="47" t="s">
        <v>1463</v>
      </c>
      <c r="R514" s="47" t="s">
        <v>1463</v>
      </c>
      <c r="S514" s="43"/>
      <c r="T514" s="49">
        <v>45638</v>
      </c>
    </row>
    <row r="515" spans="1:20" ht="26.45">
      <c r="A515" s="44" t="s">
        <v>829</v>
      </c>
      <c r="B515" s="44" t="s">
        <v>4312</v>
      </c>
      <c r="C515" s="45" t="s">
        <v>830</v>
      </c>
      <c r="D515" s="44" t="s">
        <v>1419</v>
      </c>
      <c r="E515" s="44" t="s">
        <v>1481</v>
      </c>
      <c r="F515" s="44"/>
      <c r="G515" s="44" t="s">
        <v>1466</v>
      </c>
      <c r="H515" s="44" t="s">
        <v>4313</v>
      </c>
      <c r="I515" s="46" t="s">
        <v>4314</v>
      </c>
      <c r="J515" s="46" t="s">
        <v>4315</v>
      </c>
      <c r="K515" s="46" t="s">
        <v>1888</v>
      </c>
      <c r="L515" s="46" t="s">
        <v>1474</v>
      </c>
      <c r="M515" s="46" t="s">
        <v>4316</v>
      </c>
      <c r="N515" s="46" t="s">
        <v>1744</v>
      </c>
      <c r="O515" s="44" t="s">
        <v>4317</v>
      </c>
      <c r="P515" s="44" t="s">
        <v>4318</v>
      </c>
      <c r="Q515" s="44" t="s">
        <v>1463</v>
      </c>
      <c r="R515" s="44" t="s">
        <v>1463</v>
      </c>
      <c r="S515" s="43"/>
      <c r="T515" s="51">
        <v>45509</v>
      </c>
    </row>
    <row r="516" spans="1:20" ht="26.45">
      <c r="A516" s="47" t="s">
        <v>4319</v>
      </c>
      <c r="B516" s="47" t="s">
        <v>4320</v>
      </c>
      <c r="C516" s="48" t="s">
        <v>4321</v>
      </c>
      <c r="D516" s="47" t="s">
        <v>1419</v>
      </c>
      <c r="E516" s="47" t="s">
        <v>1481</v>
      </c>
      <c r="F516" s="47"/>
      <c r="G516" s="47" t="s">
        <v>1461</v>
      </c>
      <c r="H516" s="47" t="s">
        <v>4322</v>
      </c>
      <c r="I516" s="50" t="s">
        <v>4321</v>
      </c>
      <c r="J516" s="50" t="s">
        <v>4323</v>
      </c>
      <c r="K516" s="50" t="s">
        <v>1493</v>
      </c>
      <c r="L516" s="50" t="s">
        <v>1504</v>
      </c>
      <c r="M516" s="50" t="s">
        <v>4324</v>
      </c>
      <c r="N516" s="50" t="s">
        <v>1629</v>
      </c>
      <c r="O516" s="47" t="s">
        <v>4325</v>
      </c>
      <c r="P516" s="47" t="s">
        <v>4326</v>
      </c>
      <c r="Q516" s="47" t="s">
        <v>1463</v>
      </c>
      <c r="R516" s="47" t="s">
        <v>1463</v>
      </c>
      <c r="S516" s="43"/>
      <c r="T516" s="49">
        <v>45597</v>
      </c>
    </row>
    <row r="517" spans="1:20" ht="26.45">
      <c r="A517" s="44" t="s">
        <v>221</v>
      </c>
      <c r="B517" s="44" t="s">
        <v>4327</v>
      </c>
      <c r="C517" s="45" t="s">
        <v>831</v>
      </c>
      <c r="D517" s="44" t="s">
        <v>1419</v>
      </c>
      <c r="E517" s="44" t="s">
        <v>1481</v>
      </c>
      <c r="F517" s="44"/>
      <c r="G517" s="44" t="s">
        <v>1466</v>
      </c>
      <c r="H517" s="44" t="s">
        <v>4328</v>
      </c>
      <c r="I517" s="46" t="s">
        <v>4329</v>
      </c>
      <c r="J517" s="46" t="s">
        <v>4330</v>
      </c>
      <c r="K517" s="46" t="s">
        <v>1493</v>
      </c>
      <c r="L517" s="46" t="s">
        <v>1504</v>
      </c>
      <c r="M517" s="46" t="s">
        <v>4324</v>
      </c>
      <c r="N517" s="46" t="s">
        <v>1629</v>
      </c>
      <c r="O517" s="44" t="s">
        <v>4325</v>
      </c>
      <c r="P517" s="44" t="s">
        <v>4326</v>
      </c>
      <c r="Q517" s="44" t="s">
        <v>1463</v>
      </c>
      <c r="R517" s="44" t="s">
        <v>1463</v>
      </c>
      <c r="S517" s="43"/>
      <c r="T517" s="51">
        <v>45597</v>
      </c>
    </row>
    <row r="518" spans="1:20">
      <c r="A518" s="47" t="s">
        <v>4331</v>
      </c>
      <c r="B518" s="47" t="s">
        <v>4332</v>
      </c>
      <c r="C518" s="48" t="s">
        <v>4333</v>
      </c>
      <c r="D518" s="47" t="s">
        <v>1419</v>
      </c>
      <c r="E518" s="47" t="s">
        <v>1481</v>
      </c>
      <c r="F518" s="47"/>
      <c r="G518" s="47" t="s">
        <v>1687</v>
      </c>
      <c r="H518" s="47" t="s">
        <v>4334</v>
      </c>
      <c r="I518" s="50" t="s">
        <v>4333</v>
      </c>
      <c r="J518" s="50" t="s">
        <v>4335</v>
      </c>
      <c r="K518" s="50" t="s">
        <v>1523</v>
      </c>
      <c r="L518" s="50" t="s">
        <v>1504</v>
      </c>
      <c r="M518" s="50" t="s">
        <v>4336</v>
      </c>
      <c r="N518" s="50"/>
      <c r="O518" s="47"/>
      <c r="P518" s="47"/>
      <c r="Q518" s="47" t="s">
        <v>1463</v>
      </c>
      <c r="R518" s="47" t="s">
        <v>1463</v>
      </c>
      <c r="S518" s="43"/>
      <c r="T518" s="47"/>
    </row>
    <row r="519" spans="1:20" ht="26.45">
      <c r="A519" s="44" t="s">
        <v>4337</v>
      </c>
      <c r="B519" s="44"/>
      <c r="C519" s="45" t="s">
        <v>4338</v>
      </c>
      <c r="D519" s="44" t="s">
        <v>1419</v>
      </c>
      <c r="E519" s="44" t="s">
        <v>1460</v>
      </c>
      <c r="F519" s="51">
        <v>41457.382442673603</v>
      </c>
      <c r="G519" s="44" t="s">
        <v>1466</v>
      </c>
      <c r="H519" s="44" t="s">
        <v>4339</v>
      </c>
      <c r="I519" s="46"/>
      <c r="J519" s="46"/>
      <c r="K519" s="46"/>
      <c r="L519" s="46"/>
      <c r="M519" s="46"/>
      <c r="N519" s="46"/>
      <c r="O519" s="44"/>
      <c r="P519" s="44"/>
      <c r="Q519" s="44" t="s">
        <v>1463</v>
      </c>
      <c r="R519" s="44" t="s">
        <v>1463</v>
      </c>
      <c r="S519" s="43"/>
      <c r="T519" s="44"/>
    </row>
    <row r="520" spans="1:20" ht="26.45">
      <c r="A520" s="47" t="s">
        <v>222</v>
      </c>
      <c r="B520" s="47" t="s">
        <v>4340</v>
      </c>
      <c r="C520" s="48" t="s">
        <v>832</v>
      </c>
      <c r="D520" s="47" t="s">
        <v>1425</v>
      </c>
      <c r="E520" s="47" t="s">
        <v>1481</v>
      </c>
      <c r="F520" s="47"/>
      <c r="G520" s="47" t="s">
        <v>1687</v>
      </c>
      <c r="H520" s="47" t="s">
        <v>4341</v>
      </c>
      <c r="I520" s="50" t="s">
        <v>4342</v>
      </c>
      <c r="J520" s="50" t="s">
        <v>4343</v>
      </c>
      <c r="K520" s="50" t="s">
        <v>2112</v>
      </c>
      <c r="L520" s="50" t="s">
        <v>1504</v>
      </c>
      <c r="M520" s="50" t="s">
        <v>4344</v>
      </c>
      <c r="N520" s="50" t="s">
        <v>1629</v>
      </c>
      <c r="O520" s="47" t="s">
        <v>4345</v>
      </c>
      <c r="P520" s="47" t="s">
        <v>4346</v>
      </c>
      <c r="Q520" s="47" t="s">
        <v>1695</v>
      </c>
      <c r="R520" s="47" t="s">
        <v>1463</v>
      </c>
      <c r="S520" s="43"/>
      <c r="T520" s="49">
        <v>45583</v>
      </c>
    </row>
    <row r="521" spans="1:20">
      <c r="A521" s="44" t="s">
        <v>4347</v>
      </c>
      <c r="B521" s="44"/>
      <c r="C521" s="45" t="s">
        <v>4348</v>
      </c>
      <c r="D521" s="44" t="s">
        <v>1419</v>
      </c>
      <c r="E521" s="44" t="s">
        <v>1460</v>
      </c>
      <c r="F521" s="51">
        <v>41794.756047025498</v>
      </c>
      <c r="G521" s="44" t="s">
        <v>1466</v>
      </c>
      <c r="H521" s="44"/>
      <c r="I521" s="46"/>
      <c r="J521" s="46"/>
      <c r="K521" s="46"/>
      <c r="L521" s="46"/>
      <c r="M521" s="46"/>
      <c r="N521" s="46"/>
      <c r="O521" s="44"/>
      <c r="P521" s="44"/>
      <c r="Q521" s="44" t="s">
        <v>1463</v>
      </c>
      <c r="R521" s="44" t="s">
        <v>1463</v>
      </c>
      <c r="S521" s="43"/>
      <c r="T521" s="44"/>
    </row>
    <row r="522" spans="1:20" ht="26.45">
      <c r="A522" s="47" t="s">
        <v>223</v>
      </c>
      <c r="B522" s="47" t="s">
        <v>4349</v>
      </c>
      <c r="C522" s="48" t="s">
        <v>833</v>
      </c>
      <c r="D522" s="47" t="s">
        <v>1424</v>
      </c>
      <c r="E522" s="47" t="s">
        <v>1481</v>
      </c>
      <c r="F522" s="47"/>
      <c r="G522" s="47" t="s">
        <v>1687</v>
      </c>
      <c r="H522" s="47" t="s">
        <v>4350</v>
      </c>
      <c r="I522" s="50" t="s">
        <v>4351</v>
      </c>
      <c r="J522" s="50" t="s">
        <v>4352</v>
      </c>
      <c r="K522" s="50" t="s">
        <v>4353</v>
      </c>
      <c r="L522" s="50" t="s">
        <v>1504</v>
      </c>
      <c r="M522" s="50" t="s">
        <v>4354</v>
      </c>
      <c r="N522" s="50" t="s">
        <v>1531</v>
      </c>
      <c r="O522" s="47" t="s">
        <v>4355</v>
      </c>
      <c r="P522" s="47" t="s">
        <v>4356</v>
      </c>
      <c r="Q522" s="47" t="s">
        <v>1695</v>
      </c>
      <c r="R522" s="47" t="s">
        <v>1463</v>
      </c>
      <c r="S522" s="43"/>
      <c r="T522" s="49">
        <v>45372</v>
      </c>
    </row>
    <row r="523" spans="1:20" ht="26.45">
      <c r="A523" s="44" t="s">
        <v>4357</v>
      </c>
      <c r="B523" s="44" t="s">
        <v>4358</v>
      </c>
      <c r="C523" s="45" t="s">
        <v>4359</v>
      </c>
      <c r="D523" s="44" t="s">
        <v>1414</v>
      </c>
      <c r="E523" s="44" t="s">
        <v>1481</v>
      </c>
      <c r="F523" s="44"/>
      <c r="G523" s="44" t="s">
        <v>3395</v>
      </c>
      <c r="H523" s="44" t="s">
        <v>4360</v>
      </c>
      <c r="I523" s="46" t="s">
        <v>4359</v>
      </c>
      <c r="J523" s="46" t="s">
        <v>4361</v>
      </c>
      <c r="K523" s="46" t="s">
        <v>1484</v>
      </c>
      <c r="L523" s="46" t="s">
        <v>4362</v>
      </c>
      <c r="M523" s="46" t="s">
        <v>4363</v>
      </c>
      <c r="N523" s="46" t="s">
        <v>1531</v>
      </c>
      <c r="O523" s="44" t="s">
        <v>4364</v>
      </c>
      <c r="P523" s="44" t="s">
        <v>4365</v>
      </c>
      <c r="Q523" s="44" t="s">
        <v>1463</v>
      </c>
      <c r="R523" s="44" t="s">
        <v>1463</v>
      </c>
      <c r="S523" s="43"/>
      <c r="T523" s="51">
        <v>45349</v>
      </c>
    </row>
    <row r="524" spans="1:20">
      <c r="A524" s="47" t="s">
        <v>4366</v>
      </c>
      <c r="B524" s="47" t="s">
        <v>4367</v>
      </c>
      <c r="C524" s="48" t="s">
        <v>4368</v>
      </c>
      <c r="D524" s="47" t="s">
        <v>1419</v>
      </c>
      <c r="E524" s="47" t="s">
        <v>1481</v>
      </c>
      <c r="F524" s="47"/>
      <c r="G524" s="47" t="s">
        <v>1466</v>
      </c>
      <c r="H524" s="47" t="s">
        <v>4369</v>
      </c>
      <c r="I524" s="50" t="s">
        <v>4368</v>
      </c>
      <c r="J524" s="50" t="s">
        <v>4370</v>
      </c>
      <c r="K524" s="50" t="s">
        <v>2184</v>
      </c>
      <c r="L524" s="50" t="s">
        <v>1504</v>
      </c>
      <c r="M524" s="50" t="s">
        <v>4371</v>
      </c>
      <c r="N524" s="50"/>
      <c r="O524" s="47" t="s">
        <v>4372</v>
      </c>
      <c r="P524" s="47"/>
      <c r="Q524" s="47" t="s">
        <v>1463</v>
      </c>
      <c r="R524" s="47" t="s">
        <v>1463</v>
      </c>
      <c r="S524" s="43"/>
      <c r="T524" s="47"/>
    </row>
    <row r="525" spans="1:20" ht="26.45">
      <c r="A525" s="44" t="s">
        <v>224</v>
      </c>
      <c r="B525" s="44" t="s">
        <v>4373</v>
      </c>
      <c r="C525" s="45" t="s">
        <v>834</v>
      </c>
      <c r="D525" s="44" t="s">
        <v>1419</v>
      </c>
      <c r="E525" s="44" t="s">
        <v>1481</v>
      </c>
      <c r="F525" s="44"/>
      <c r="G525" s="44" t="s">
        <v>1466</v>
      </c>
      <c r="H525" s="44" t="s">
        <v>4374</v>
      </c>
      <c r="I525" s="46" t="s">
        <v>4375</v>
      </c>
      <c r="J525" s="46" t="s">
        <v>4376</v>
      </c>
      <c r="K525" s="46" t="s">
        <v>1503</v>
      </c>
      <c r="L525" s="46" t="s">
        <v>1474</v>
      </c>
      <c r="M525" s="46" t="s">
        <v>4377</v>
      </c>
      <c r="N525" s="46" t="s">
        <v>1516</v>
      </c>
      <c r="O525" s="44" t="s">
        <v>4378</v>
      </c>
      <c r="P525" s="44" t="s">
        <v>4379</v>
      </c>
      <c r="Q525" s="44" t="s">
        <v>1463</v>
      </c>
      <c r="R525" s="44" t="s">
        <v>1463</v>
      </c>
      <c r="S525" s="43"/>
      <c r="T525" s="51">
        <v>45195</v>
      </c>
    </row>
    <row r="526" spans="1:20" ht="26.45">
      <c r="A526" s="47" t="s">
        <v>835</v>
      </c>
      <c r="B526" s="47" t="s">
        <v>4380</v>
      </c>
      <c r="C526" s="48" t="s">
        <v>836</v>
      </c>
      <c r="D526" s="47" t="s">
        <v>1419</v>
      </c>
      <c r="E526" s="47" t="s">
        <v>1481</v>
      </c>
      <c r="F526" s="47"/>
      <c r="G526" s="47" t="s">
        <v>1466</v>
      </c>
      <c r="H526" s="47" t="s">
        <v>4381</v>
      </c>
      <c r="I526" s="50" t="s">
        <v>836</v>
      </c>
      <c r="J526" s="50" t="s">
        <v>4382</v>
      </c>
      <c r="K526" s="50" t="s">
        <v>1493</v>
      </c>
      <c r="L526" s="50" t="s">
        <v>1504</v>
      </c>
      <c r="M526" s="50" t="s">
        <v>4383</v>
      </c>
      <c r="N526" s="50" t="s">
        <v>1629</v>
      </c>
      <c r="O526" s="47" t="s">
        <v>4384</v>
      </c>
      <c r="P526" s="47" t="s">
        <v>4385</v>
      </c>
      <c r="Q526" s="47" t="s">
        <v>1463</v>
      </c>
      <c r="R526" s="47" t="s">
        <v>1463</v>
      </c>
      <c r="S526" s="43"/>
      <c r="T526" s="49">
        <v>45688</v>
      </c>
    </row>
    <row r="527" spans="1:20" ht="26.45">
      <c r="A527" s="44" t="s">
        <v>225</v>
      </c>
      <c r="B527" s="44" t="s">
        <v>4386</v>
      </c>
      <c r="C527" s="45" t="s">
        <v>837</v>
      </c>
      <c r="D527" s="44" t="s">
        <v>1419</v>
      </c>
      <c r="E527" s="44" t="s">
        <v>1481</v>
      </c>
      <c r="F527" s="44"/>
      <c r="G527" s="44" t="s">
        <v>1466</v>
      </c>
      <c r="H527" s="44" t="s">
        <v>4387</v>
      </c>
      <c r="I527" s="46" t="s">
        <v>4388</v>
      </c>
      <c r="J527" s="46" t="s">
        <v>4389</v>
      </c>
      <c r="K527" s="46" t="s">
        <v>4390</v>
      </c>
      <c r="L527" s="46" t="s">
        <v>4391</v>
      </c>
      <c r="M527" s="46" t="s">
        <v>4392</v>
      </c>
      <c r="N527" s="46" t="s">
        <v>1744</v>
      </c>
      <c r="O527" s="44" t="s">
        <v>4393</v>
      </c>
      <c r="P527" s="44" t="s">
        <v>4394</v>
      </c>
      <c r="Q527" s="44" t="s">
        <v>1463</v>
      </c>
      <c r="R527" s="44" t="s">
        <v>1463</v>
      </c>
      <c r="S527" s="43"/>
      <c r="T527" s="51">
        <v>45348</v>
      </c>
    </row>
    <row r="528" spans="1:20" ht="26.45">
      <c r="A528" s="47" t="s">
        <v>226</v>
      </c>
      <c r="B528" s="47" t="s">
        <v>4395</v>
      </c>
      <c r="C528" s="48" t="s">
        <v>838</v>
      </c>
      <c r="D528" s="47" t="s">
        <v>1419</v>
      </c>
      <c r="E528" s="47" t="s">
        <v>1481</v>
      </c>
      <c r="F528" s="47"/>
      <c r="G528" s="47" t="s">
        <v>1687</v>
      </c>
      <c r="H528" s="47" t="s">
        <v>4396</v>
      </c>
      <c r="I528" s="50" t="s">
        <v>4397</v>
      </c>
      <c r="J528" s="50" t="s">
        <v>4398</v>
      </c>
      <c r="K528" s="50" t="s">
        <v>4399</v>
      </c>
      <c r="L528" s="50" t="s">
        <v>1504</v>
      </c>
      <c r="M528" s="50" t="s">
        <v>4400</v>
      </c>
      <c r="N528" s="50" t="s">
        <v>1495</v>
      </c>
      <c r="O528" s="47" t="s">
        <v>4401</v>
      </c>
      <c r="P528" s="47" t="s">
        <v>4402</v>
      </c>
      <c r="Q528" s="47" t="s">
        <v>1695</v>
      </c>
      <c r="R528" s="47" t="s">
        <v>1463</v>
      </c>
      <c r="S528" s="43"/>
      <c r="T528" s="49">
        <v>45638</v>
      </c>
    </row>
    <row r="529" spans="1:20" ht="26.45">
      <c r="A529" s="44" t="s">
        <v>4403</v>
      </c>
      <c r="B529" s="44" t="s">
        <v>4404</v>
      </c>
      <c r="C529" s="45" t="s">
        <v>4405</v>
      </c>
      <c r="D529" s="44" t="s">
        <v>1434</v>
      </c>
      <c r="E529" s="44" t="s">
        <v>1481</v>
      </c>
      <c r="F529" s="44"/>
      <c r="G529" s="44" t="s">
        <v>1663</v>
      </c>
      <c r="H529" s="44" t="s">
        <v>4406</v>
      </c>
      <c r="I529" s="46" t="s">
        <v>4405</v>
      </c>
      <c r="J529" s="46" t="s">
        <v>4407</v>
      </c>
      <c r="K529" s="46" t="s">
        <v>3712</v>
      </c>
      <c r="L529" s="46" t="s">
        <v>2117</v>
      </c>
      <c r="M529" s="46" t="s">
        <v>4408</v>
      </c>
      <c r="N529" s="46" t="s">
        <v>1531</v>
      </c>
      <c r="O529" s="44" t="s">
        <v>4409</v>
      </c>
      <c r="P529" s="44" t="s">
        <v>4410</v>
      </c>
      <c r="Q529" s="44" t="s">
        <v>1463</v>
      </c>
      <c r="R529" s="44" t="s">
        <v>1463</v>
      </c>
      <c r="S529" s="43"/>
      <c r="T529" s="51">
        <v>45553</v>
      </c>
    </row>
    <row r="530" spans="1:20">
      <c r="A530" s="47" t="s">
        <v>4411</v>
      </c>
      <c r="B530" s="47" t="s">
        <v>4412</v>
      </c>
      <c r="C530" s="48" t="s">
        <v>4413</v>
      </c>
      <c r="D530" s="47" t="s">
        <v>1434</v>
      </c>
      <c r="E530" s="47" t="s">
        <v>1481</v>
      </c>
      <c r="F530" s="47"/>
      <c r="G530" s="47" t="s">
        <v>1663</v>
      </c>
      <c r="H530" s="47" t="s">
        <v>4414</v>
      </c>
      <c r="I530" s="50"/>
      <c r="J530" s="50"/>
      <c r="K530" s="50"/>
      <c r="L530" s="50"/>
      <c r="M530" s="50"/>
      <c r="N530" s="50"/>
      <c r="O530" s="47"/>
      <c r="P530" s="47"/>
      <c r="Q530" s="47" t="s">
        <v>1463</v>
      </c>
      <c r="R530" s="47" t="s">
        <v>1463</v>
      </c>
      <c r="S530" s="43"/>
      <c r="T530" s="47"/>
    </row>
    <row r="531" spans="1:20" ht="26.45">
      <c r="A531" s="44" t="s">
        <v>839</v>
      </c>
      <c r="B531" s="44" t="s">
        <v>4415</v>
      </c>
      <c r="C531" s="45" t="s">
        <v>840</v>
      </c>
      <c r="D531" s="44" t="s">
        <v>1434</v>
      </c>
      <c r="E531" s="44" t="s">
        <v>1481</v>
      </c>
      <c r="F531" s="44"/>
      <c r="G531" s="44" t="s">
        <v>1687</v>
      </c>
      <c r="H531" s="44" t="s">
        <v>4416</v>
      </c>
      <c r="I531" s="46" t="s">
        <v>4417</v>
      </c>
      <c r="J531" s="46" t="s">
        <v>4407</v>
      </c>
      <c r="K531" s="46" t="s">
        <v>3712</v>
      </c>
      <c r="L531" s="46" t="s">
        <v>2117</v>
      </c>
      <c r="M531" s="46" t="s">
        <v>4408</v>
      </c>
      <c r="N531" s="46" t="s">
        <v>1531</v>
      </c>
      <c r="O531" s="44" t="s">
        <v>4418</v>
      </c>
      <c r="P531" s="44" t="s">
        <v>4419</v>
      </c>
      <c r="Q531" s="44" t="s">
        <v>1695</v>
      </c>
      <c r="R531" s="44" t="s">
        <v>1463</v>
      </c>
      <c r="S531" s="43"/>
      <c r="T531" s="51">
        <v>45553</v>
      </c>
    </row>
    <row r="532" spans="1:20">
      <c r="A532" s="47" t="s">
        <v>841</v>
      </c>
      <c r="B532" s="47" t="s">
        <v>4420</v>
      </c>
      <c r="C532" s="48" t="s">
        <v>842</v>
      </c>
      <c r="D532" s="47" t="s">
        <v>1434</v>
      </c>
      <c r="E532" s="47" t="s">
        <v>1481</v>
      </c>
      <c r="F532" s="47"/>
      <c r="G532" s="47" t="s">
        <v>1663</v>
      </c>
      <c r="H532" s="47" t="s">
        <v>4421</v>
      </c>
      <c r="I532" s="50" t="s">
        <v>4422</v>
      </c>
      <c r="J532" s="50" t="s">
        <v>4407</v>
      </c>
      <c r="K532" s="50" t="s">
        <v>3712</v>
      </c>
      <c r="L532" s="50" t="s">
        <v>2117</v>
      </c>
      <c r="M532" s="50" t="s">
        <v>4408</v>
      </c>
      <c r="N532" s="50" t="s">
        <v>1531</v>
      </c>
      <c r="O532" s="47" t="s">
        <v>4423</v>
      </c>
      <c r="P532" s="47"/>
      <c r="Q532" s="47" t="s">
        <v>1463</v>
      </c>
      <c r="R532" s="47" t="s">
        <v>1463</v>
      </c>
      <c r="S532" s="43"/>
      <c r="T532" s="49">
        <v>45664</v>
      </c>
    </row>
    <row r="533" spans="1:20">
      <c r="A533" s="44" t="s">
        <v>4424</v>
      </c>
      <c r="B533" s="44" t="s">
        <v>4425</v>
      </c>
      <c r="C533" s="45" t="s">
        <v>4426</v>
      </c>
      <c r="D533" s="44" t="s">
        <v>1434</v>
      </c>
      <c r="E533" s="44" t="s">
        <v>1481</v>
      </c>
      <c r="F533" s="44"/>
      <c r="G533" s="44" t="s">
        <v>1687</v>
      </c>
      <c r="H533" s="44"/>
      <c r="I533" s="46"/>
      <c r="J533" s="46"/>
      <c r="K533" s="46"/>
      <c r="L533" s="46"/>
      <c r="M533" s="46"/>
      <c r="N533" s="46"/>
      <c r="O533" s="44"/>
      <c r="P533" s="44"/>
      <c r="Q533" s="44" t="s">
        <v>1695</v>
      </c>
      <c r="R533" s="44" t="s">
        <v>1463</v>
      </c>
      <c r="S533" s="43"/>
      <c r="T533" s="44"/>
    </row>
    <row r="534" spans="1:20" ht="26.45">
      <c r="A534" s="47" t="s">
        <v>4427</v>
      </c>
      <c r="B534" s="47" t="s">
        <v>4428</v>
      </c>
      <c r="C534" s="48" t="s">
        <v>4429</v>
      </c>
      <c r="D534" s="47" t="s">
        <v>1419</v>
      </c>
      <c r="E534" s="47" t="s">
        <v>1481</v>
      </c>
      <c r="F534" s="47"/>
      <c r="G534" s="47" t="s">
        <v>1687</v>
      </c>
      <c r="H534" s="47" t="s">
        <v>4430</v>
      </c>
      <c r="I534" s="50" t="s">
        <v>4431</v>
      </c>
      <c r="J534" s="50" t="s">
        <v>4432</v>
      </c>
      <c r="K534" s="50" t="s">
        <v>3523</v>
      </c>
      <c r="L534" s="50" t="s">
        <v>1474</v>
      </c>
      <c r="M534" s="50" t="s">
        <v>4433</v>
      </c>
      <c r="N534" s="50" t="s">
        <v>1629</v>
      </c>
      <c r="O534" s="47" t="s">
        <v>4434</v>
      </c>
      <c r="P534" s="47" t="s">
        <v>4435</v>
      </c>
      <c r="Q534" s="47" t="s">
        <v>1463</v>
      </c>
      <c r="R534" s="47" t="s">
        <v>1463</v>
      </c>
      <c r="S534" s="43"/>
      <c r="T534" s="49">
        <v>44931</v>
      </c>
    </row>
    <row r="535" spans="1:20" ht="26.45">
      <c r="A535" s="44" t="s">
        <v>4436</v>
      </c>
      <c r="B535" s="44" t="s">
        <v>4437</v>
      </c>
      <c r="C535" s="45" t="s">
        <v>4438</v>
      </c>
      <c r="D535" s="44" t="s">
        <v>1433</v>
      </c>
      <c r="E535" s="44" t="s">
        <v>1481</v>
      </c>
      <c r="F535" s="44"/>
      <c r="G535" s="44" t="s">
        <v>1466</v>
      </c>
      <c r="H535" s="44" t="s">
        <v>4439</v>
      </c>
      <c r="I535" s="46" t="s">
        <v>4438</v>
      </c>
      <c r="J535" s="46"/>
      <c r="K535" s="46"/>
      <c r="L535" s="46"/>
      <c r="M535" s="46"/>
      <c r="N535" s="46"/>
      <c r="O535" s="44"/>
      <c r="P535" s="44"/>
      <c r="Q535" s="44" t="s">
        <v>1463</v>
      </c>
      <c r="R535" s="44" t="s">
        <v>1463</v>
      </c>
      <c r="S535" s="43"/>
      <c r="T535" s="44"/>
    </row>
    <row r="536" spans="1:20" ht="26.45">
      <c r="A536" s="47" t="s">
        <v>4440</v>
      </c>
      <c r="B536" s="47" t="s">
        <v>4441</v>
      </c>
      <c r="C536" s="48" t="s">
        <v>4442</v>
      </c>
      <c r="D536" s="47" t="s">
        <v>1433</v>
      </c>
      <c r="E536" s="47" t="s">
        <v>1481</v>
      </c>
      <c r="F536" s="47"/>
      <c r="G536" s="47" t="s">
        <v>1687</v>
      </c>
      <c r="H536" s="47" t="s">
        <v>4443</v>
      </c>
      <c r="I536" s="50" t="s">
        <v>4442</v>
      </c>
      <c r="J536" s="50" t="s">
        <v>4444</v>
      </c>
      <c r="K536" s="50" t="s">
        <v>3411</v>
      </c>
      <c r="L536" s="50" t="s">
        <v>1474</v>
      </c>
      <c r="M536" s="50" t="s">
        <v>4445</v>
      </c>
      <c r="N536" s="50" t="s">
        <v>1525</v>
      </c>
      <c r="O536" s="47" t="s">
        <v>4446</v>
      </c>
      <c r="P536" s="47" t="s">
        <v>4447</v>
      </c>
      <c r="Q536" s="47" t="s">
        <v>1695</v>
      </c>
      <c r="R536" s="47" t="s">
        <v>1463</v>
      </c>
      <c r="S536" s="43"/>
      <c r="T536" s="49">
        <v>45692</v>
      </c>
    </row>
    <row r="537" spans="1:20" ht="39.6">
      <c r="A537" s="44" t="s">
        <v>4448</v>
      </c>
      <c r="B537" s="44" t="s">
        <v>4449</v>
      </c>
      <c r="C537" s="45" t="s">
        <v>4450</v>
      </c>
      <c r="D537" s="44" t="s">
        <v>1434</v>
      </c>
      <c r="E537" s="44" t="s">
        <v>1481</v>
      </c>
      <c r="F537" s="44"/>
      <c r="G537" s="44" t="s">
        <v>1511</v>
      </c>
      <c r="H537" s="44"/>
      <c r="I537" s="46"/>
      <c r="J537" s="46"/>
      <c r="K537" s="46"/>
      <c r="L537" s="46"/>
      <c r="M537" s="46"/>
      <c r="N537" s="46"/>
      <c r="O537" s="44"/>
      <c r="P537" s="44"/>
      <c r="Q537" s="44" t="s">
        <v>1463</v>
      </c>
      <c r="R537" s="44" t="s">
        <v>1463</v>
      </c>
      <c r="S537" s="43"/>
      <c r="T537" s="44"/>
    </row>
    <row r="538" spans="1:20" ht="26.45">
      <c r="A538" s="47" t="s">
        <v>227</v>
      </c>
      <c r="B538" s="47" t="s">
        <v>4451</v>
      </c>
      <c r="C538" s="48" t="s">
        <v>843</v>
      </c>
      <c r="D538" s="47" t="s">
        <v>1419</v>
      </c>
      <c r="E538" s="47" t="s">
        <v>1481</v>
      </c>
      <c r="F538" s="47"/>
      <c r="G538" s="47" t="s">
        <v>1687</v>
      </c>
      <c r="H538" s="47" t="s">
        <v>4452</v>
      </c>
      <c r="I538" s="50" t="s">
        <v>4453</v>
      </c>
      <c r="J538" s="50" t="s">
        <v>4454</v>
      </c>
      <c r="K538" s="50" t="s">
        <v>1888</v>
      </c>
      <c r="L538" s="50" t="s">
        <v>1504</v>
      </c>
      <c r="M538" s="50" t="s">
        <v>4455</v>
      </c>
      <c r="N538" s="50" t="s">
        <v>1744</v>
      </c>
      <c r="O538" s="47" t="s">
        <v>4456</v>
      </c>
      <c r="P538" s="47" t="s">
        <v>4457</v>
      </c>
      <c r="Q538" s="47" t="s">
        <v>1463</v>
      </c>
      <c r="R538" s="47" t="s">
        <v>1463</v>
      </c>
      <c r="S538" s="43"/>
      <c r="T538" s="49">
        <v>45518</v>
      </c>
    </row>
    <row r="539" spans="1:20" ht="26.45">
      <c r="A539" s="44" t="s">
        <v>228</v>
      </c>
      <c r="B539" s="44" t="s">
        <v>4458</v>
      </c>
      <c r="C539" s="45" t="s">
        <v>844</v>
      </c>
      <c r="D539" s="44" t="s">
        <v>1430</v>
      </c>
      <c r="E539" s="44" t="s">
        <v>1481</v>
      </c>
      <c r="F539" s="44"/>
      <c r="G539" s="44" t="s">
        <v>1466</v>
      </c>
      <c r="H539" s="44" t="s">
        <v>4459</v>
      </c>
      <c r="I539" s="46" t="s">
        <v>844</v>
      </c>
      <c r="J539" s="46" t="s">
        <v>4460</v>
      </c>
      <c r="K539" s="46" t="s">
        <v>3317</v>
      </c>
      <c r="L539" s="46" t="s">
        <v>1504</v>
      </c>
      <c r="M539" s="46" t="s">
        <v>4461</v>
      </c>
      <c r="N539" s="46" t="s">
        <v>1531</v>
      </c>
      <c r="O539" s="44" t="s">
        <v>4462</v>
      </c>
      <c r="P539" s="44" t="s">
        <v>4463</v>
      </c>
      <c r="Q539" s="44" t="s">
        <v>1463</v>
      </c>
      <c r="R539" s="44" t="s">
        <v>1463</v>
      </c>
      <c r="S539" s="43"/>
      <c r="T539" s="51">
        <v>45680</v>
      </c>
    </row>
    <row r="540" spans="1:20" ht="26.45">
      <c r="A540" s="47" t="s">
        <v>229</v>
      </c>
      <c r="B540" s="47" t="s">
        <v>4464</v>
      </c>
      <c r="C540" s="48" t="s">
        <v>845</v>
      </c>
      <c r="D540" s="47" t="s">
        <v>1419</v>
      </c>
      <c r="E540" s="47" t="s">
        <v>1481</v>
      </c>
      <c r="F540" s="47"/>
      <c r="G540" s="47" t="s">
        <v>1687</v>
      </c>
      <c r="H540" s="47" t="s">
        <v>4465</v>
      </c>
      <c r="I540" s="50" t="s">
        <v>4466</v>
      </c>
      <c r="J540" s="50" t="s">
        <v>4467</v>
      </c>
      <c r="K540" s="50" t="s">
        <v>1549</v>
      </c>
      <c r="L540" s="50" t="s">
        <v>1504</v>
      </c>
      <c r="M540" s="50" t="s">
        <v>4468</v>
      </c>
      <c r="N540" s="50" t="s">
        <v>1729</v>
      </c>
      <c r="O540" s="47" t="s">
        <v>4469</v>
      </c>
      <c r="P540" s="47" t="s">
        <v>4470</v>
      </c>
      <c r="Q540" s="47" t="s">
        <v>1463</v>
      </c>
      <c r="R540" s="47" t="s">
        <v>1463</v>
      </c>
      <c r="S540" s="43"/>
      <c r="T540" s="49">
        <v>45551</v>
      </c>
    </row>
    <row r="541" spans="1:20" ht="26.45">
      <c r="A541" s="44" t="s">
        <v>846</v>
      </c>
      <c r="B541" s="44" t="s">
        <v>4471</v>
      </c>
      <c r="C541" s="45" t="s">
        <v>847</v>
      </c>
      <c r="D541" s="44" t="s">
        <v>1419</v>
      </c>
      <c r="E541" s="44" t="s">
        <v>1481</v>
      </c>
      <c r="F541" s="44"/>
      <c r="G541" s="44" t="s">
        <v>1466</v>
      </c>
      <c r="H541" s="44" t="s">
        <v>4472</v>
      </c>
      <c r="I541" s="46" t="s">
        <v>847</v>
      </c>
      <c r="J541" s="46" t="s">
        <v>2067</v>
      </c>
      <c r="K541" s="46" t="s">
        <v>1727</v>
      </c>
      <c r="L541" s="46" t="s">
        <v>1474</v>
      </c>
      <c r="M541" s="46" t="s">
        <v>2068</v>
      </c>
      <c r="N541" s="46" t="s">
        <v>1729</v>
      </c>
      <c r="O541" s="44" t="s">
        <v>4473</v>
      </c>
      <c r="P541" s="44" t="s">
        <v>4474</v>
      </c>
      <c r="Q541" s="44" t="s">
        <v>1463</v>
      </c>
      <c r="R541" s="44" t="s">
        <v>1463</v>
      </c>
      <c r="S541" s="43"/>
      <c r="T541" s="51">
        <v>45621</v>
      </c>
    </row>
    <row r="542" spans="1:20" ht="26.45">
      <c r="A542" s="47" t="s">
        <v>230</v>
      </c>
      <c r="B542" s="47" t="s">
        <v>4475</v>
      </c>
      <c r="C542" s="48" t="s">
        <v>848</v>
      </c>
      <c r="D542" s="47" t="s">
        <v>1419</v>
      </c>
      <c r="E542" s="47" t="s">
        <v>1481</v>
      </c>
      <c r="F542" s="47"/>
      <c r="G542" s="47" t="s">
        <v>1687</v>
      </c>
      <c r="H542" s="47" t="s">
        <v>4476</v>
      </c>
      <c r="I542" s="50" t="s">
        <v>848</v>
      </c>
      <c r="J542" s="50" t="s">
        <v>4477</v>
      </c>
      <c r="K542" s="50" t="s">
        <v>2829</v>
      </c>
      <c r="L542" s="50" t="s">
        <v>1504</v>
      </c>
      <c r="M542" s="50" t="s">
        <v>4478</v>
      </c>
      <c r="N542" s="50" t="s">
        <v>1525</v>
      </c>
      <c r="O542" s="47" t="s">
        <v>4479</v>
      </c>
      <c r="P542" s="47" t="s">
        <v>4480</v>
      </c>
      <c r="Q542" s="47" t="s">
        <v>1463</v>
      </c>
      <c r="R542" s="47" t="s">
        <v>1463</v>
      </c>
      <c r="S542" s="43"/>
      <c r="T542" s="49">
        <v>45327</v>
      </c>
    </row>
    <row r="543" spans="1:20">
      <c r="A543" s="44" t="s">
        <v>4481</v>
      </c>
      <c r="B543" s="44" t="s">
        <v>4482</v>
      </c>
      <c r="C543" s="45" t="s">
        <v>4483</v>
      </c>
      <c r="D543" s="44" t="s">
        <v>1414</v>
      </c>
      <c r="E543" s="44" t="s">
        <v>1481</v>
      </c>
      <c r="F543" s="44"/>
      <c r="G543" s="44" t="s">
        <v>1466</v>
      </c>
      <c r="H543" s="44" t="s">
        <v>3471</v>
      </c>
      <c r="I543" s="46" t="s">
        <v>4483</v>
      </c>
      <c r="J543" s="46"/>
      <c r="K543" s="46"/>
      <c r="L543" s="46"/>
      <c r="M543" s="46"/>
      <c r="N543" s="46"/>
      <c r="O543" s="44"/>
      <c r="P543" s="44"/>
      <c r="Q543" s="44" t="s">
        <v>1463</v>
      </c>
      <c r="R543" s="44" t="s">
        <v>1463</v>
      </c>
      <c r="S543" s="43"/>
      <c r="T543" s="44"/>
    </row>
    <row r="544" spans="1:20" ht="26.45">
      <c r="A544" s="47" t="s">
        <v>4484</v>
      </c>
      <c r="B544" s="47" t="s">
        <v>4485</v>
      </c>
      <c r="C544" s="48" t="s">
        <v>4486</v>
      </c>
      <c r="D544" s="47" t="s">
        <v>1424</v>
      </c>
      <c r="E544" s="47" t="s">
        <v>1481</v>
      </c>
      <c r="F544" s="47"/>
      <c r="G544" s="47" t="s">
        <v>1490</v>
      </c>
      <c r="H544" s="47" t="s">
        <v>4487</v>
      </c>
      <c r="I544" s="50" t="s">
        <v>4486</v>
      </c>
      <c r="J544" s="50" t="s">
        <v>4488</v>
      </c>
      <c r="K544" s="50" t="s">
        <v>1523</v>
      </c>
      <c r="L544" s="50" t="s">
        <v>1504</v>
      </c>
      <c r="M544" s="50" t="s">
        <v>4489</v>
      </c>
      <c r="N544" s="50" t="s">
        <v>1629</v>
      </c>
      <c r="O544" s="47"/>
      <c r="P544" s="47"/>
      <c r="Q544" s="47" t="s">
        <v>1463</v>
      </c>
      <c r="R544" s="47" t="s">
        <v>1463</v>
      </c>
      <c r="S544" s="43"/>
      <c r="T544" s="47"/>
    </row>
    <row r="545" spans="1:20" ht="26.45">
      <c r="A545" s="44" t="s">
        <v>4490</v>
      </c>
      <c r="B545" s="44" t="s">
        <v>4491</v>
      </c>
      <c r="C545" s="45" t="s">
        <v>4492</v>
      </c>
      <c r="D545" s="44" t="s">
        <v>1419</v>
      </c>
      <c r="E545" s="44" t="s">
        <v>1460</v>
      </c>
      <c r="F545" s="51">
        <v>42536.663860729197</v>
      </c>
      <c r="G545" s="44" t="s">
        <v>1466</v>
      </c>
      <c r="H545" s="44" t="s">
        <v>4493</v>
      </c>
      <c r="I545" s="46" t="s">
        <v>4492</v>
      </c>
      <c r="J545" s="46" t="s">
        <v>4494</v>
      </c>
      <c r="K545" s="46" t="s">
        <v>1541</v>
      </c>
      <c r="L545" s="46" t="s">
        <v>1504</v>
      </c>
      <c r="M545" s="46" t="s">
        <v>4495</v>
      </c>
      <c r="N545" s="46" t="s">
        <v>1516</v>
      </c>
      <c r="O545" s="44" t="s">
        <v>4496</v>
      </c>
      <c r="P545" s="44"/>
      <c r="Q545" s="44" t="s">
        <v>1463</v>
      </c>
      <c r="R545" s="44" t="s">
        <v>1463</v>
      </c>
      <c r="S545" s="43"/>
      <c r="T545" s="51">
        <v>42830</v>
      </c>
    </row>
    <row r="546" spans="1:20" ht="26.45">
      <c r="A546" s="47" t="s">
        <v>231</v>
      </c>
      <c r="B546" s="47" t="s">
        <v>4497</v>
      </c>
      <c r="C546" s="48" t="s">
        <v>849</v>
      </c>
      <c r="D546" s="47" t="s">
        <v>1434</v>
      </c>
      <c r="E546" s="47" t="s">
        <v>1481</v>
      </c>
      <c r="F546" s="47"/>
      <c r="G546" s="47" t="s">
        <v>1687</v>
      </c>
      <c r="H546" s="47" t="s">
        <v>4498</v>
      </c>
      <c r="I546" s="50" t="s">
        <v>4499</v>
      </c>
      <c r="J546" s="50" t="s">
        <v>4500</v>
      </c>
      <c r="K546" s="50" t="s">
        <v>3712</v>
      </c>
      <c r="L546" s="50" t="s">
        <v>1474</v>
      </c>
      <c r="M546" s="50" t="s">
        <v>4501</v>
      </c>
      <c r="N546" s="50" t="s">
        <v>1641</v>
      </c>
      <c r="O546" s="47" t="s">
        <v>4502</v>
      </c>
      <c r="P546" s="47" t="s">
        <v>4503</v>
      </c>
      <c r="Q546" s="47" t="s">
        <v>1695</v>
      </c>
      <c r="R546" s="47" t="s">
        <v>1463</v>
      </c>
      <c r="S546" s="43"/>
      <c r="T546" s="49">
        <v>45320</v>
      </c>
    </row>
    <row r="547" spans="1:20">
      <c r="A547" s="44" t="s">
        <v>4504</v>
      </c>
      <c r="B547" s="44"/>
      <c r="C547" s="45" t="s">
        <v>4505</v>
      </c>
      <c r="D547" s="44" t="s">
        <v>1419</v>
      </c>
      <c r="E547" s="44" t="s">
        <v>1460</v>
      </c>
      <c r="F547" s="51">
        <v>42452.659987534702</v>
      </c>
      <c r="G547" s="44" t="s">
        <v>1466</v>
      </c>
      <c r="H547" s="44"/>
      <c r="I547" s="46"/>
      <c r="J547" s="46"/>
      <c r="K547" s="46"/>
      <c r="L547" s="46"/>
      <c r="M547" s="46"/>
      <c r="N547" s="46"/>
      <c r="O547" s="44"/>
      <c r="P547" s="44"/>
      <c r="Q547" s="44" t="s">
        <v>1463</v>
      </c>
      <c r="R547" s="44" t="s">
        <v>1463</v>
      </c>
      <c r="S547" s="43"/>
      <c r="T547" s="44"/>
    </row>
    <row r="548" spans="1:20">
      <c r="A548" s="47" t="s">
        <v>4506</v>
      </c>
      <c r="B548" s="47" t="s">
        <v>4507</v>
      </c>
      <c r="C548" s="48" t="s">
        <v>4508</v>
      </c>
      <c r="D548" s="47" t="s">
        <v>1433</v>
      </c>
      <c r="E548" s="47" t="s">
        <v>1460</v>
      </c>
      <c r="F548" s="49">
        <v>44263.794462418999</v>
      </c>
      <c r="G548" s="47" t="s">
        <v>1663</v>
      </c>
      <c r="H548" s="47" t="s">
        <v>4509</v>
      </c>
      <c r="I548" s="50" t="s">
        <v>4510</v>
      </c>
      <c r="J548" s="50" t="s">
        <v>4511</v>
      </c>
      <c r="K548" s="50" t="s">
        <v>4512</v>
      </c>
      <c r="L548" s="50" t="s">
        <v>1504</v>
      </c>
      <c r="M548" s="50" t="s">
        <v>4513</v>
      </c>
      <c r="N548" s="50" t="s">
        <v>1641</v>
      </c>
      <c r="O548" s="47" t="s">
        <v>4514</v>
      </c>
      <c r="P548" s="47"/>
      <c r="Q548" s="47" t="s">
        <v>1463</v>
      </c>
      <c r="R548" s="47" t="s">
        <v>1463</v>
      </c>
      <c r="S548" s="43"/>
      <c r="T548" s="49">
        <v>44620</v>
      </c>
    </row>
    <row r="549" spans="1:20" ht="26.45">
      <c r="A549" s="44" t="s">
        <v>850</v>
      </c>
      <c r="B549" s="44" t="s">
        <v>4515</v>
      </c>
      <c r="C549" s="45" t="s">
        <v>851</v>
      </c>
      <c r="D549" s="44" t="s">
        <v>1433</v>
      </c>
      <c r="E549" s="44" t="s">
        <v>1481</v>
      </c>
      <c r="F549" s="44"/>
      <c r="G549" s="44" t="s">
        <v>1663</v>
      </c>
      <c r="H549" s="44"/>
      <c r="I549" s="46" t="s">
        <v>4516</v>
      </c>
      <c r="J549" s="46" t="s">
        <v>4511</v>
      </c>
      <c r="K549" s="46" t="s">
        <v>4512</v>
      </c>
      <c r="L549" s="46" t="s">
        <v>4517</v>
      </c>
      <c r="M549" s="46" t="s">
        <v>4513</v>
      </c>
      <c r="N549" s="46" t="s">
        <v>1641</v>
      </c>
      <c r="O549" s="44" t="s">
        <v>4514</v>
      </c>
      <c r="P549" s="44" t="s">
        <v>4518</v>
      </c>
      <c r="Q549" s="44" t="s">
        <v>1463</v>
      </c>
      <c r="R549" s="44" t="s">
        <v>1463</v>
      </c>
      <c r="S549" s="43"/>
      <c r="T549" s="51">
        <v>44935</v>
      </c>
    </row>
    <row r="550" spans="1:20">
      <c r="A550" s="47" t="s">
        <v>4519</v>
      </c>
      <c r="B550" s="47" t="s">
        <v>4520</v>
      </c>
      <c r="C550" s="48" t="s">
        <v>851</v>
      </c>
      <c r="D550" s="47" t="s">
        <v>1433</v>
      </c>
      <c r="E550" s="47" t="s">
        <v>1481</v>
      </c>
      <c r="F550" s="47"/>
      <c r="G550" s="47" t="s">
        <v>1663</v>
      </c>
      <c r="H550" s="47" t="s">
        <v>4521</v>
      </c>
      <c r="I550" s="50" t="s">
        <v>4510</v>
      </c>
      <c r="J550" s="50" t="s">
        <v>4511</v>
      </c>
      <c r="K550" s="50" t="s">
        <v>4512</v>
      </c>
      <c r="L550" s="50" t="s">
        <v>1504</v>
      </c>
      <c r="M550" s="50" t="s">
        <v>4513</v>
      </c>
      <c r="N550" s="50" t="s">
        <v>1641</v>
      </c>
      <c r="O550" s="47" t="s">
        <v>4514</v>
      </c>
      <c r="P550" s="47"/>
      <c r="Q550" s="47" t="s">
        <v>1695</v>
      </c>
      <c r="R550" s="47" t="s">
        <v>1463</v>
      </c>
      <c r="S550" s="43"/>
      <c r="T550" s="49">
        <v>45307</v>
      </c>
    </row>
    <row r="551" spans="1:20" ht="26.45">
      <c r="A551" s="44" t="s">
        <v>4522</v>
      </c>
      <c r="B551" s="44" t="s">
        <v>4523</v>
      </c>
      <c r="C551" s="45" t="s">
        <v>4524</v>
      </c>
      <c r="D551" s="44" t="s">
        <v>1433</v>
      </c>
      <c r="E551" s="44" t="s">
        <v>1481</v>
      </c>
      <c r="F551" s="44"/>
      <c r="G551" s="44" t="s">
        <v>1687</v>
      </c>
      <c r="H551" s="44" t="s">
        <v>4525</v>
      </c>
      <c r="I551" s="46" t="s">
        <v>4526</v>
      </c>
      <c r="J551" s="46" t="s">
        <v>4527</v>
      </c>
      <c r="K551" s="46" t="s">
        <v>1414</v>
      </c>
      <c r="L551" s="46" t="s">
        <v>1474</v>
      </c>
      <c r="M551" s="46" t="s">
        <v>4528</v>
      </c>
      <c r="N551" s="46" t="s">
        <v>1525</v>
      </c>
      <c r="O551" s="44" t="s">
        <v>4529</v>
      </c>
      <c r="P551" s="44" t="s">
        <v>4530</v>
      </c>
      <c r="Q551" s="44" t="s">
        <v>1695</v>
      </c>
      <c r="R551" s="44" t="s">
        <v>1463</v>
      </c>
      <c r="S551" s="43"/>
      <c r="T551" s="51">
        <v>45337</v>
      </c>
    </row>
    <row r="552" spans="1:20">
      <c r="A552" s="47" t="s">
        <v>4531</v>
      </c>
      <c r="B552" s="47" t="s">
        <v>4532</v>
      </c>
      <c r="C552" s="48" t="s">
        <v>4524</v>
      </c>
      <c r="D552" s="47" t="s">
        <v>1433</v>
      </c>
      <c r="E552" s="47" t="s">
        <v>1481</v>
      </c>
      <c r="F552" s="47"/>
      <c r="G552" s="47" t="s">
        <v>1618</v>
      </c>
      <c r="H552" s="47"/>
      <c r="I552" s="50"/>
      <c r="J552" s="50"/>
      <c r="K552" s="50"/>
      <c r="L552" s="50"/>
      <c r="M552" s="50"/>
      <c r="N552" s="50"/>
      <c r="O552" s="47"/>
      <c r="P552" s="47"/>
      <c r="Q552" s="47" t="s">
        <v>1463</v>
      </c>
      <c r="R552" s="47" t="s">
        <v>1463</v>
      </c>
      <c r="S552" s="43"/>
      <c r="T552" s="47"/>
    </row>
    <row r="553" spans="1:20" ht="26.45">
      <c r="A553" s="44" t="s">
        <v>232</v>
      </c>
      <c r="B553" s="44" t="s">
        <v>4533</v>
      </c>
      <c r="C553" s="45" t="s">
        <v>852</v>
      </c>
      <c r="D553" s="44" t="s">
        <v>1430</v>
      </c>
      <c r="E553" s="44" t="s">
        <v>1481</v>
      </c>
      <c r="F553" s="44"/>
      <c r="G553" s="44" t="s">
        <v>1687</v>
      </c>
      <c r="H553" s="44" t="s">
        <v>4534</v>
      </c>
      <c r="I553" s="46" t="s">
        <v>4535</v>
      </c>
      <c r="J553" s="46" t="s">
        <v>4536</v>
      </c>
      <c r="K553" s="46" t="s">
        <v>4537</v>
      </c>
      <c r="L553" s="46" t="s">
        <v>1504</v>
      </c>
      <c r="M553" s="46" t="s">
        <v>4538</v>
      </c>
      <c r="N553" s="46" t="s">
        <v>1531</v>
      </c>
      <c r="O553" s="44" t="s">
        <v>4539</v>
      </c>
      <c r="P553" s="44" t="s">
        <v>4540</v>
      </c>
      <c r="Q553" s="44" t="s">
        <v>1695</v>
      </c>
      <c r="R553" s="44" t="s">
        <v>1463</v>
      </c>
      <c r="S553" s="43"/>
      <c r="T553" s="51">
        <v>45608</v>
      </c>
    </row>
    <row r="554" spans="1:20">
      <c r="A554" s="47" t="s">
        <v>4541</v>
      </c>
      <c r="B554" s="47" t="s">
        <v>4542</v>
      </c>
      <c r="C554" s="48" t="s">
        <v>4543</v>
      </c>
      <c r="D554" s="47" t="s">
        <v>1419</v>
      </c>
      <c r="E554" s="47" t="s">
        <v>1481</v>
      </c>
      <c r="F554" s="47"/>
      <c r="G554" s="47" t="s">
        <v>1663</v>
      </c>
      <c r="H554" s="47" t="s">
        <v>4544</v>
      </c>
      <c r="I554" s="50" t="s">
        <v>4543</v>
      </c>
      <c r="J554" s="50" t="s">
        <v>4545</v>
      </c>
      <c r="K554" s="50" t="s">
        <v>1523</v>
      </c>
      <c r="L554" s="50" t="s">
        <v>1504</v>
      </c>
      <c r="M554" s="50" t="s">
        <v>4546</v>
      </c>
      <c r="N554" s="50"/>
      <c r="O554" s="47" t="s">
        <v>4547</v>
      </c>
      <c r="P554" s="47"/>
      <c r="Q554" s="47" t="s">
        <v>1463</v>
      </c>
      <c r="R554" s="47" t="s">
        <v>1463</v>
      </c>
      <c r="S554" s="43"/>
      <c r="T554" s="49">
        <v>44888</v>
      </c>
    </row>
    <row r="555" spans="1:20" ht="26.45">
      <c r="A555" s="44" t="s">
        <v>4548</v>
      </c>
      <c r="B555" s="44" t="s">
        <v>4549</v>
      </c>
      <c r="C555" s="45" t="s">
        <v>4550</v>
      </c>
      <c r="D555" s="44" t="s">
        <v>1419</v>
      </c>
      <c r="E555" s="44" t="s">
        <v>1460</v>
      </c>
      <c r="F555" s="51">
        <v>41808.962577893501</v>
      </c>
      <c r="G555" s="44" t="s">
        <v>1466</v>
      </c>
      <c r="H555" s="44" t="s">
        <v>4551</v>
      </c>
      <c r="I555" s="46" t="s">
        <v>4550</v>
      </c>
      <c r="J555" s="46" t="s">
        <v>4552</v>
      </c>
      <c r="K555" s="46" t="s">
        <v>2213</v>
      </c>
      <c r="L555" s="46" t="s">
        <v>1504</v>
      </c>
      <c r="M555" s="46" t="s">
        <v>4553</v>
      </c>
      <c r="N555" s="46" t="s">
        <v>1744</v>
      </c>
      <c r="O555" s="44"/>
      <c r="P555" s="44"/>
      <c r="Q555" s="44" t="s">
        <v>1463</v>
      </c>
      <c r="R555" s="44" t="s">
        <v>1463</v>
      </c>
      <c r="S555" s="43"/>
      <c r="T555" s="51">
        <v>42442</v>
      </c>
    </row>
    <row r="556" spans="1:20">
      <c r="A556" s="47" t="s">
        <v>4554</v>
      </c>
      <c r="B556" s="47" t="s">
        <v>4555</v>
      </c>
      <c r="C556" s="48" t="s">
        <v>4556</v>
      </c>
      <c r="D556" s="47" t="s">
        <v>1410</v>
      </c>
      <c r="E556" s="47" t="s">
        <v>1460</v>
      </c>
      <c r="F556" s="49">
        <v>43496.639521909703</v>
      </c>
      <c r="G556" s="47" t="s">
        <v>1466</v>
      </c>
      <c r="H556" s="47" t="s">
        <v>4557</v>
      </c>
      <c r="I556" s="50" t="s">
        <v>4556</v>
      </c>
      <c r="J556" s="50" t="s">
        <v>4558</v>
      </c>
      <c r="K556" s="50" t="s">
        <v>1419</v>
      </c>
      <c r="L556" s="50" t="s">
        <v>1474</v>
      </c>
      <c r="M556" s="50" t="s">
        <v>4559</v>
      </c>
      <c r="N556" s="50" t="s">
        <v>1641</v>
      </c>
      <c r="O556" s="47" t="s">
        <v>4560</v>
      </c>
      <c r="P556" s="47"/>
      <c r="Q556" s="47" t="s">
        <v>1463</v>
      </c>
      <c r="R556" s="47" t="s">
        <v>1463</v>
      </c>
      <c r="S556" s="43"/>
      <c r="T556" s="49">
        <v>43859</v>
      </c>
    </row>
    <row r="557" spans="1:20" ht="39.6">
      <c r="A557" s="44" t="s">
        <v>4561</v>
      </c>
      <c r="B557" s="44" t="s">
        <v>4562</v>
      </c>
      <c r="C557" s="45" t="s">
        <v>4563</v>
      </c>
      <c r="D557" s="44" t="s">
        <v>1432</v>
      </c>
      <c r="E557" s="44" t="s">
        <v>1481</v>
      </c>
      <c r="F557" s="44"/>
      <c r="G557" s="44" t="s">
        <v>1511</v>
      </c>
      <c r="H557" s="44"/>
      <c r="I557" s="46"/>
      <c r="J557" s="46" t="s">
        <v>4564</v>
      </c>
      <c r="K557" s="46" t="s">
        <v>4565</v>
      </c>
      <c r="L557" s="46" t="s">
        <v>1504</v>
      </c>
      <c r="M557" s="46" t="s">
        <v>4566</v>
      </c>
      <c r="N557" s="46"/>
      <c r="O557" s="44" t="s">
        <v>4567</v>
      </c>
      <c r="P557" s="44"/>
      <c r="Q557" s="44" t="s">
        <v>1463</v>
      </c>
      <c r="R557" s="44" t="s">
        <v>1463</v>
      </c>
      <c r="S557" s="43"/>
      <c r="T557" s="51">
        <v>43144</v>
      </c>
    </row>
    <row r="558" spans="1:20" ht="26.45">
      <c r="A558" s="47" t="s">
        <v>233</v>
      </c>
      <c r="B558" s="47" t="s">
        <v>4568</v>
      </c>
      <c r="C558" s="48" t="s">
        <v>853</v>
      </c>
      <c r="D558" s="47" t="s">
        <v>1414</v>
      </c>
      <c r="E558" s="47" t="s">
        <v>1481</v>
      </c>
      <c r="F558" s="47"/>
      <c r="G558" s="47" t="s">
        <v>1466</v>
      </c>
      <c r="H558" s="47" t="s">
        <v>4569</v>
      </c>
      <c r="I558" s="50" t="s">
        <v>4570</v>
      </c>
      <c r="J558" s="50" t="s">
        <v>4571</v>
      </c>
      <c r="K558" s="50" t="s">
        <v>4572</v>
      </c>
      <c r="L558" s="50" t="s">
        <v>1474</v>
      </c>
      <c r="M558" s="50" t="s">
        <v>4573</v>
      </c>
      <c r="N558" s="50" t="s">
        <v>1531</v>
      </c>
      <c r="O558" s="47" t="s">
        <v>4574</v>
      </c>
      <c r="P558" s="47" t="s">
        <v>4575</v>
      </c>
      <c r="Q558" s="47" t="s">
        <v>1463</v>
      </c>
      <c r="R558" s="47" t="s">
        <v>1463</v>
      </c>
      <c r="S558" s="43"/>
      <c r="T558" s="49">
        <v>45313</v>
      </c>
    </row>
    <row r="559" spans="1:20">
      <c r="A559" s="44" t="s">
        <v>4576</v>
      </c>
      <c r="B559" s="44" t="s">
        <v>4577</v>
      </c>
      <c r="C559" s="45" t="s">
        <v>4578</v>
      </c>
      <c r="D559" s="44" t="s">
        <v>1419</v>
      </c>
      <c r="E559" s="44" t="s">
        <v>1481</v>
      </c>
      <c r="F559" s="44"/>
      <c r="G559" s="44" t="s">
        <v>1466</v>
      </c>
      <c r="H559" s="44" t="s">
        <v>4579</v>
      </c>
      <c r="I559" s="46" t="s">
        <v>4578</v>
      </c>
      <c r="J559" s="46"/>
      <c r="K559" s="46"/>
      <c r="L559" s="46"/>
      <c r="M559" s="46"/>
      <c r="N559" s="46"/>
      <c r="O559" s="44" t="s">
        <v>4580</v>
      </c>
      <c r="P559" s="44"/>
      <c r="Q559" s="44" t="s">
        <v>1463</v>
      </c>
      <c r="R559" s="44" t="s">
        <v>1463</v>
      </c>
      <c r="S559" s="43"/>
      <c r="T559" s="44"/>
    </row>
    <row r="560" spans="1:20">
      <c r="A560" s="47" t="s">
        <v>4581</v>
      </c>
      <c r="B560" s="47" t="s">
        <v>4582</v>
      </c>
      <c r="C560" s="48" t="s">
        <v>4583</v>
      </c>
      <c r="D560" s="47" t="s">
        <v>1435</v>
      </c>
      <c r="E560" s="47" t="s">
        <v>1460</v>
      </c>
      <c r="F560" s="49">
        <v>42440.9315701042</v>
      </c>
      <c r="G560" s="47" t="s">
        <v>1687</v>
      </c>
      <c r="H560" s="47"/>
      <c r="I560" s="50"/>
      <c r="J560" s="50"/>
      <c r="K560" s="50"/>
      <c r="L560" s="50"/>
      <c r="M560" s="50"/>
      <c r="N560" s="50"/>
      <c r="O560" s="47"/>
      <c r="P560" s="47"/>
      <c r="Q560" s="47" t="s">
        <v>1695</v>
      </c>
      <c r="R560" s="47" t="s">
        <v>1463</v>
      </c>
      <c r="S560" s="43"/>
      <c r="T560" s="47"/>
    </row>
    <row r="561" spans="1:20" ht="26.45">
      <c r="A561" s="44" t="s">
        <v>4584</v>
      </c>
      <c r="B561" s="44" t="s">
        <v>4585</v>
      </c>
      <c r="C561" s="45" t="s">
        <v>4586</v>
      </c>
      <c r="D561" s="44" t="s">
        <v>1435</v>
      </c>
      <c r="E561" s="44" t="s">
        <v>1460</v>
      </c>
      <c r="F561" s="51">
        <v>42452.718308912001</v>
      </c>
      <c r="G561" s="44" t="s">
        <v>1687</v>
      </c>
      <c r="H561" s="44"/>
      <c r="I561" s="46" t="s">
        <v>4586</v>
      </c>
      <c r="J561" s="46"/>
      <c r="K561" s="46"/>
      <c r="L561" s="46"/>
      <c r="M561" s="46"/>
      <c r="N561" s="46"/>
      <c r="O561" s="44" t="s">
        <v>2262</v>
      </c>
      <c r="P561" s="44"/>
      <c r="Q561" s="44" t="s">
        <v>1695</v>
      </c>
      <c r="R561" s="44" t="s">
        <v>1463</v>
      </c>
      <c r="S561" s="43"/>
      <c r="T561" s="44"/>
    </row>
    <row r="562" spans="1:20" ht="26.45">
      <c r="A562" s="47" t="s">
        <v>4587</v>
      </c>
      <c r="B562" s="47" t="s">
        <v>4588</v>
      </c>
      <c r="C562" s="48" t="s">
        <v>4589</v>
      </c>
      <c r="D562" s="47" t="s">
        <v>1435</v>
      </c>
      <c r="E562" s="47" t="s">
        <v>1481</v>
      </c>
      <c r="F562" s="47"/>
      <c r="G562" s="47" t="s">
        <v>1663</v>
      </c>
      <c r="H562" s="47" t="s">
        <v>4590</v>
      </c>
      <c r="I562" s="50" t="s">
        <v>2656</v>
      </c>
      <c r="J562" s="50" t="s">
        <v>2657</v>
      </c>
      <c r="K562" s="50" t="s">
        <v>2658</v>
      </c>
      <c r="L562" s="50" t="s">
        <v>1504</v>
      </c>
      <c r="M562" s="50" t="s">
        <v>2659</v>
      </c>
      <c r="N562" s="50" t="s">
        <v>1641</v>
      </c>
      <c r="O562" s="47" t="s">
        <v>2660</v>
      </c>
      <c r="P562" s="47" t="s">
        <v>2661</v>
      </c>
      <c r="Q562" s="47" t="s">
        <v>1695</v>
      </c>
      <c r="R562" s="47" t="s">
        <v>1463</v>
      </c>
      <c r="S562" s="43"/>
      <c r="T562" s="49">
        <v>45624</v>
      </c>
    </row>
    <row r="563" spans="1:20">
      <c r="A563" s="44" t="s">
        <v>4591</v>
      </c>
      <c r="B563" s="44" t="s">
        <v>4592</v>
      </c>
      <c r="C563" s="45" t="s">
        <v>4593</v>
      </c>
      <c r="D563" s="44" t="s">
        <v>1435</v>
      </c>
      <c r="E563" s="44" t="s">
        <v>1481</v>
      </c>
      <c r="F563" s="44"/>
      <c r="G563" s="44" t="s">
        <v>1663</v>
      </c>
      <c r="H563" s="44"/>
      <c r="I563" s="46"/>
      <c r="J563" s="46"/>
      <c r="K563" s="46"/>
      <c r="L563" s="46"/>
      <c r="M563" s="46"/>
      <c r="N563" s="46"/>
      <c r="O563" s="44"/>
      <c r="P563" s="44"/>
      <c r="Q563" s="44" t="s">
        <v>1463</v>
      </c>
      <c r="R563" s="44" t="s">
        <v>1463</v>
      </c>
      <c r="S563" s="43"/>
      <c r="T563" s="44"/>
    </row>
    <row r="564" spans="1:20">
      <c r="A564" s="47" t="s">
        <v>4594</v>
      </c>
      <c r="B564" s="47"/>
      <c r="C564" s="48" t="s">
        <v>4595</v>
      </c>
      <c r="D564" s="47" t="s">
        <v>1435</v>
      </c>
      <c r="E564" s="47" t="s">
        <v>1460</v>
      </c>
      <c r="F564" s="49">
        <v>41457.382443634298</v>
      </c>
      <c r="G564" s="47" t="s">
        <v>1663</v>
      </c>
      <c r="H564" s="47"/>
      <c r="I564" s="50"/>
      <c r="J564" s="50"/>
      <c r="K564" s="50"/>
      <c r="L564" s="50"/>
      <c r="M564" s="50"/>
      <c r="N564" s="50"/>
      <c r="O564" s="47"/>
      <c r="P564" s="47"/>
      <c r="Q564" s="47" t="s">
        <v>1463</v>
      </c>
      <c r="R564" s="47" t="s">
        <v>1463</v>
      </c>
      <c r="S564" s="43"/>
      <c r="T564" s="47"/>
    </row>
    <row r="565" spans="1:20" ht="39.6">
      <c r="A565" s="44" t="s">
        <v>4596</v>
      </c>
      <c r="B565" s="44" t="s">
        <v>4597</v>
      </c>
      <c r="C565" s="45" t="s">
        <v>4598</v>
      </c>
      <c r="D565" s="44" t="s">
        <v>1430</v>
      </c>
      <c r="E565" s="44" t="s">
        <v>1481</v>
      </c>
      <c r="F565" s="44"/>
      <c r="G565" s="44" t="s">
        <v>1511</v>
      </c>
      <c r="H565" s="44" t="s">
        <v>4599</v>
      </c>
      <c r="I565" s="46" t="s">
        <v>4600</v>
      </c>
      <c r="J565" s="46" t="s">
        <v>4601</v>
      </c>
      <c r="K565" s="46" t="s">
        <v>4602</v>
      </c>
      <c r="L565" s="46" t="s">
        <v>1474</v>
      </c>
      <c r="M565" s="46" t="s">
        <v>4603</v>
      </c>
      <c r="N565" s="46" t="s">
        <v>1641</v>
      </c>
      <c r="O565" s="44" t="s">
        <v>4604</v>
      </c>
      <c r="P565" s="44" t="s">
        <v>4604</v>
      </c>
      <c r="Q565" s="44" t="s">
        <v>1463</v>
      </c>
      <c r="R565" s="44" t="s">
        <v>1463</v>
      </c>
      <c r="S565" s="43"/>
      <c r="T565" s="51">
        <v>45383</v>
      </c>
    </row>
    <row r="566" spans="1:20" ht="26.45">
      <c r="A566" s="47" t="s">
        <v>234</v>
      </c>
      <c r="B566" s="47" t="s">
        <v>4605</v>
      </c>
      <c r="C566" s="48" t="s">
        <v>854</v>
      </c>
      <c r="D566" s="47" t="s">
        <v>1414</v>
      </c>
      <c r="E566" s="47" t="s">
        <v>1481</v>
      </c>
      <c r="F566" s="47"/>
      <c r="G566" s="47" t="s">
        <v>1466</v>
      </c>
      <c r="H566" s="47" t="s">
        <v>4606</v>
      </c>
      <c r="I566" s="50" t="s">
        <v>4607</v>
      </c>
      <c r="J566" s="50" t="s">
        <v>4608</v>
      </c>
      <c r="K566" s="50" t="s">
        <v>1484</v>
      </c>
      <c r="L566" s="50" t="s">
        <v>1474</v>
      </c>
      <c r="M566" s="50" t="s">
        <v>4609</v>
      </c>
      <c r="N566" s="50" t="s">
        <v>1495</v>
      </c>
      <c r="O566" s="47" t="s">
        <v>4610</v>
      </c>
      <c r="P566" s="47" t="s">
        <v>4611</v>
      </c>
      <c r="Q566" s="47" t="s">
        <v>1463</v>
      </c>
      <c r="R566" s="47" t="s">
        <v>1463</v>
      </c>
      <c r="S566" s="43"/>
      <c r="T566" s="49">
        <v>45629</v>
      </c>
    </row>
    <row r="567" spans="1:20" ht="26.45">
      <c r="A567" s="44" t="s">
        <v>4612</v>
      </c>
      <c r="B567" s="44" t="s">
        <v>4613</v>
      </c>
      <c r="C567" s="45" t="s">
        <v>4614</v>
      </c>
      <c r="D567" s="44" t="s">
        <v>1414</v>
      </c>
      <c r="E567" s="44" t="s">
        <v>1460</v>
      </c>
      <c r="F567" s="51">
        <v>42928.766822106503</v>
      </c>
      <c r="G567" s="44" t="s">
        <v>1490</v>
      </c>
      <c r="H567" s="44" t="s">
        <v>4615</v>
      </c>
      <c r="I567" s="46" t="s">
        <v>4616</v>
      </c>
      <c r="J567" s="46" t="s">
        <v>4617</v>
      </c>
      <c r="K567" s="46" t="s">
        <v>2764</v>
      </c>
      <c r="L567" s="46" t="s">
        <v>1504</v>
      </c>
      <c r="M567" s="46" t="s">
        <v>4618</v>
      </c>
      <c r="N567" s="46" t="s">
        <v>1531</v>
      </c>
      <c r="O567" s="44" t="s">
        <v>4619</v>
      </c>
      <c r="P567" s="44"/>
      <c r="Q567" s="44" t="s">
        <v>1463</v>
      </c>
      <c r="R567" s="44" t="s">
        <v>1463</v>
      </c>
      <c r="S567" s="43"/>
      <c r="T567" s="51">
        <v>43266</v>
      </c>
    </row>
    <row r="568" spans="1:20" ht="26.45">
      <c r="A568" s="47" t="s">
        <v>4620</v>
      </c>
      <c r="B568" s="47" t="s">
        <v>4621</v>
      </c>
      <c r="C568" s="48" t="s">
        <v>4622</v>
      </c>
      <c r="D568" s="47" t="s">
        <v>1419</v>
      </c>
      <c r="E568" s="47" t="s">
        <v>1481</v>
      </c>
      <c r="F568" s="47"/>
      <c r="G568" s="47" t="s">
        <v>1490</v>
      </c>
      <c r="H568" s="47"/>
      <c r="I568" s="50" t="s">
        <v>4622</v>
      </c>
      <c r="J568" s="50" t="s">
        <v>4623</v>
      </c>
      <c r="K568" s="50" t="s">
        <v>2829</v>
      </c>
      <c r="L568" s="50" t="s">
        <v>1504</v>
      </c>
      <c r="M568" s="50" t="s">
        <v>4624</v>
      </c>
      <c r="N568" s="50"/>
      <c r="O568" s="47"/>
      <c r="P568" s="47"/>
      <c r="Q568" s="47" t="s">
        <v>1463</v>
      </c>
      <c r="R568" s="47" t="s">
        <v>1463</v>
      </c>
      <c r="S568" s="43"/>
      <c r="T568" s="47"/>
    </row>
    <row r="569" spans="1:20" ht="26.45">
      <c r="A569" s="44" t="s">
        <v>855</v>
      </c>
      <c r="B569" s="44" t="s">
        <v>4625</v>
      </c>
      <c r="C569" s="45" t="s">
        <v>856</v>
      </c>
      <c r="D569" s="44" t="s">
        <v>1414</v>
      </c>
      <c r="E569" s="44" t="s">
        <v>1481</v>
      </c>
      <c r="F569" s="44"/>
      <c r="G569" s="44" t="s">
        <v>1466</v>
      </c>
      <c r="H569" s="44" t="s">
        <v>4626</v>
      </c>
      <c r="I569" s="46" t="s">
        <v>4627</v>
      </c>
      <c r="J569" s="46" t="s">
        <v>4628</v>
      </c>
      <c r="K569" s="46" t="s">
        <v>1484</v>
      </c>
      <c r="L569" s="46" t="s">
        <v>1504</v>
      </c>
      <c r="M569" s="46" t="s">
        <v>4629</v>
      </c>
      <c r="N569" s="46" t="s">
        <v>1495</v>
      </c>
      <c r="O569" s="44" t="s">
        <v>4630</v>
      </c>
      <c r="P569" s="44" t="s">
        <v>4631</v>
      </c>
      <c r="Q569" s="44" t="s">
        <v>1463</v>
      </c>
      <c r="R569" s="44" t="s">
        <v>1463</v>
      </c>
      <c r="S569" s="43"/>
      <c r="T569" s="51">
        <v>45478</v>
      </c>
    </row>
    <row r="570" spans="1:20">
      <c r="A570" s="47" t="s">
        <v>4632</v>
      </c>
      <c r="B570" s="47"/>
      <c r="C570" s="48" t="s">
        <v>856</v>
      </c>
      <c r="D570" s="47" t="s">
        <v>1414</v>
      </c>
      <c r="E570" s="47" t="s">
        <v>1460</v>
      </c>
      <c r="F570" s="49">
        <v>42452.688265127297</v>
      </c>
      <c r="G570" s="47" t="s">
        <v>1466</v>
      </c>
      <c r="H570" s="47"/>
      <c r="I570" s="50"/>
      <c r="J570" s="50"/>
      <c r="K570" s="50"/>
      <c r="L570" s="50"/>
      <c r="M570" s="50"/>
      <c r="N570" s="50"/>
      <c r="O570" s="47"/>
      <c r="P570" s="47"/>
      <c r="Q570" s="47" t="s">
        <v>1463</v>
      </c>
      <c r="R570" s="47" t="s">
        <v>1463</v>
      </c>
      <c r="S570" s="43"/>
      <c r="T570" s="47"/>
    </row>
    <row r="571" spans="1:20" ht="26.45">
      <c r="A571" s="44" t="s">
        <v>235</v>
      </c>
      <c r="B571" s="44" t="s">
        <v>4633</v>
      </c>
      <c r="C571" s="45" t="s">
        <v>857</v>
      </c>
      <c r="D571" s="44" t="s">
        <v>1416</v>
      </c>
      <c r="E571" s="44" t="s">
        <v>1481</v>
      </c>
      <c r="F571" s="44"/>
      <c r="G571" s="44" t="s">
        <v>1687</v>
      </c>
      <c r="H571" s="44" t="s">
        <v>4634</v>
      </c>
      <c r="I571" s="46" t="s">
        <v>4635</v>
      </c>
      <c r="J571" s="46" t="s">
        <v>4636</v>
      </c>
      <c r="K571" s="46" t="s">
        <v>3421</v>
      </c>
      <c r="L571" s="46" t="s">
        <v>1474</v>
      </c>
      <c r="M571" s="46" t="s">
        <v>4637</v>
      </c>
      <c r="N571" s="46" t="s">
        <v>1476</v>
      </c>
      <c r="O571" s="44" t="s">
        <v>4638</v>
      </c>
      <c r="P571" s="44" t="s">
        <v>4639</v>
      </c>
      <c r="Q571" s="44" t="s">
        <v>1695</v>
      </c>
      <c r="R571" s="44" t="s">
        <v>1463</v>
      </c>
      <c r="S571" s="43"/>
      <c r="T571" s="51">
        <v>45527</v>
      </c>
    </row>
    <row r="572" spans="1:20" ht="26.45">
      <c r="A572" s="47" t="s">
        <v>4640</v>
      </c>
      <c r="B572" s="47" t="s">
        <v>4641</v>
      </c>
      <c r="C572" s="48" t="s">
        <v>4642</v>
      </c>
      <c r="D572" s="47" t="s">
        <v>1419</v>
      </c>
      <c r="E572" s="47" t="s">
        <v>1481</v>
      </c>
      <c r="F572" s="47"/>
      <c r="G572" s="47" t="s">
        <v>1490</v>
      </c>
      <c r="H572" s="47" t="s">
        <v>4643</v>
      </c>
      <c r="I572" s="50" t="s">
        <v>4644</v>
      </c>
      <c r="J572" s="50" t="s">
        <v>4645</v>
      </c>
      <c r="K572" s="50" t="s">
        <v>1493</v>
      </c>
      <c r="L572" s="50" t="s">
        <v>1504</v>
      </c>
      <c r="M572" s="50" t="s">
        <v>4646</v>
      </c>
      <c r="N572" s="50" t="s">
        <v>1495</v>
      </c>
      <c r="O572" s="47" t="s">
        <v>4647</v>
      </c>
      <c r="P572" s="47"/>
      <c r="Q572" s="47" t="s">
        <v>1463</v>
      </c>
      <c r="R572" s="47" t="s">
        <v>1463</v>
      </c>
      <c r="S572" s="43"/>
      <c r="T572" s="49">
        <v>43384</v>
      </c>
    </row>
    <row r="573" spans="1:20" ht="26.45">
      <c r="A573" s="44" t="s">
        <v>236</v>
      </c>
      <c r="B573" s="44" t="s">
        <v>4648</v>
      </c>
      <c r="C573" s="45" t="s">
        <v>858</v>
      </c>
      <c r="D573" s="44" t="s">
        <v>1419</v>
      </c>
      <c r="E573" s="44" t="s">
        <v>1481</v>
      </c>
      <c r="F573" s="44"/>
      <c r="G573" s="44" t="s">
        <v>1466</v>
      </c>
      <c r="H573" s="44" t="s">
        <v>4649</v>
      </c>
      <c r="I573" s="46" t="s">
        <v>858</v>
      </c>
      <c r="J573" s="46" t="s">
        <v>1861</v>
      </c>
      <c r="K573" s="46" t="s">
        <v>1503</v>
      </c>
      <c r="L573" s="46" t="s">
        <v>1504</v>
      </c>
      <c r="M573" s="46" t="s">
        <v>1862</v>
      </c>
      <c r="N573" s="46" t="s">
        <v>1476</v>
      </c>
      <c r="O573" s="44" t="s">
        <v>4650</v>
      </c>
      <c r="P573" s="44" t="s">
        <v>4651</v>
      </c>
      <c r="Q573" s="44" t="s">
        <v>1463</v>
      </c>
      <c r="R573" s="44" t="s">
        <v>1463</v>
      </c>
      <c r="S573" s="43"/>
      <c r="T573" s="51">
        <v>45603</v>
      </c>
    </row>
    <row r="574" spans="1:20" ht="26.45">
      <c r="A574" s="47" t="s">
        <v>237</v>
      </c>
      <c r="B574" s="47" t="s">
        <v>4652</v>
      </c>
      <c r="C574" s="48" t="s">
        <v>859</v>
      </c>
      <c r="D574" s="47" t="s">
        <v>1419</v>
      </c>
      <c r="E574" s="47" t="s">
        <v>1481</v>
      </c>
      <c r="F574" s="47"/>
      <c r="G574" s="47" t="s">
        <v>1466</v>
      </c>
      <c r="H574" s="47" t="s">
        <v>4653</v>
      </c>
      <c r="I574" s="50" t="s">
        <v>859</v>
      </c>
      <c r="J574" s="50" t="s">
        <v>4654</v>
      </c>
      <c r="K574" s="50" t="s">
        <v>1727</v>
      </c>
      <c r="L574" s="50" t="s">
        <v>1504</v>
      </c>
      <c r="M574" s="50" t="s">
        <v>4655</v>
      </c>
      <c r="N574" s="50" t="s">
        <v>1476</v>
      </c>
      <c r="O574" s="47" t="s">
        <v>4656</v>
      </c>
      <c r="P574" s="47" t="s">
        <v>4657</v>
      </c>
      <c r="Q574" s="47" t="s">
        <v>1463</v>
      </c>
      <c r="R574" s="47" t="s">
        <v>1463</v>
      </c>
      <c r="S574" s="43"/>
      <c r="T574" s="49">
        <v>45628</v>
      </c>
    </row>
    <row r="575" spans="1:20" ht="26.45">
      <c r="A575" s="44" t="s">
        <v>4658</v>
      </c>
      <c r="B575" s="44" t="s">
        <v>4659</v>
      </c>
      <c r="C575" s="45" t="s">
        <v>4660</v>
      </c>
      <c r="D575" s="44" t="s">
        <v>1425</v>
      </c>
      <c r="E575" s="44" t="s">
        <v>1481</v>
      </c>
      <c r="F575" s="44"/>
      <c r="G575" s="44" t="s">
        <v>1490</v>
      </c>
      <c r="H575" s="44" t="s">
        <v>4661</v>
      </c>
      <c r="I575" s="46" t="s">
        <v>4662</v>
      </c>
      <c r="J575" s="46" t="s">
        <v>4663</v>
      </c>
      <c r="K575" s="46" t="s">
        <v>1425</v>
      </c>
      <c r="L575" s="46" t="s">
        <v>1474</v>
      </c>
      <c r="M575" s="46" t="s">
        <v>3546</v>
      </c>
      <c r="N575" s="46" t="s">
        <v>1495</v>
      </c>
      <c r="O575" s="44"/>
      <c r="P575" s="44"/>
      <c r="Q575" s="44" t="s">
        <v>1463</v>
      </c>
      <c r="R575" s="44" t="s">
        <v>1463</v>
      </c>
      <c r="S575" s="43"/>
      <c r="T575" s="51">
        <v>45483</v>
      </c>
    </row>
    <row r="576" spans="1:20" ht="26.45">
      <c r="A576" s="47" t="s">
        <v>238</v>
      </c>
      <c r="B576" s="47" t="s">
        <v>4664</v>
      </c>
      <c r="C576" s="48" t="s">
        <v>860</v>
      </c>
      <c r="D576" s="47" t="s">
        <v>1425</v>
      </c>
      <c r="E576" s="47" t="s">
        <v>1481</v>
      </c>
      <c r="F576" s="47"/>
      <c r="G576" s="47" t="s">
        <v>1466</v>
      </c>
      <c r="H576" s="47" t="s">
        <v>4665</v>
      </c>
      <c r="I576" s="50" t="s">
        <v>4666</v>
      </c>
      <c r="J576" s="50" t="s">
        <v>4667</v>
      </c>
      <c r="K576" s="50" t="s">
        <v>1425</v>
      </c>
      <c r="L576" s="50" t="s">
        <v>1504</v>
      </c>
      <c r="M576" s="50" t="s">
        <v>4668</v>
      </c>
      <c r="N576" s="50" t="s">
        <v>1495</v>
      </c>
      <c r="O576" s="47" t="s">
        <v>4669</v>
      </c>
      <c r="P576" s="47" t="s">
        <v>4670</v>
      </c>
      <c r="Q576" s="47" t="s">
        <v>1463</v>
      </c>
      <c r="R576" s="47" t="s">
        <v>1463</v>
      </c>
      <c r="S576" s="43"/>
      <c r="T576" s="49">
        <v>45476</v>
      </c>
    </row>
    <row r="577" spans="1:20" ht="26.45">
      <c r="A577" s="44" t="s">
        <v>239</v>
      </c>
      <c r="B577" s="44" t="s">
        <v>4671</v>
      </c>
      <c r="C577" s="45" t="s">
        <v>861</v>
      </c>
      <c r="D577" s="44" t="s">
        <v>1430</v>
      </c>
      <c r="E577" s="44" t="s">
        <v>1481</v>
      </c>
      <c r="F577" s="44"/>
      <c r="G577" s="44" t="s">
        <v>1466</v>
      </c>
      <c r="H577" s="44" t="s">
        <v>4672</v>
      </c>
      <c r="I577" s="46" t="s">
        <v>861</v>
      </c>
      <c r="J577" s="46" t="s">
        <v>4673</v>
      </c>
      <c r="K577" s="46" t="s">
        <v>3337</v>
      </c>
      <c r="L577" s="46" t="s">
        <v>1504</v>
      </c>
      <c r="M577" s="46" t="s">
        <v>4674</v>
      </c>
      <c r="N577" s="46" t="s">
        <v>1641</v>
      </c>
      <c r="O577" s="44" t="s">
        <v>4675</v>
      </c>
      <c r="P577" s="44" t="s">
        <v>4676</v>
      </c>
      <c r="Q577" s="44" t="s">
        <v>1463</v>
      </c>
      <c r="R577" s="44" t="s">
        <v>1463</v>
      </c>
      <c r="S577" s="43"/>
      <c r="T577" s="51">
        <v>45301</v>
      </c>
    </row>
    <row r="578" spans="1:20" ht="26.45">
      <c r="A578" s="47" t="s">
        <v>240</v>
      </c>
      <c r="B578" s="47" t="s">
        <v>4677</v>
      </c>
      <c r="C578" s="48" t="s">
        <v>862</v>
      </c>
      <c r="D578" s="47" t="s">
        <v>1434</v>
      </c>
      <c r="E578" s="47" t="s">
        <v>1481</v>
      </c>
      <c r="F578" s="47"/>
      <c r="G578" s="47" t="s">
        <v>1687</v>
      </c>
      <c r="H578" s="47" t="s">
        <v>4678</v>
      </c>
      <c r="I578" s="50" t="s">
        <v>4679</v>
      </c>
      <c r="J578" s="50" t="s">
        <v>4680</v>
      </c>
      <c r="K578" s="50" t="s">
        <v>4681</v>
      </c>
      <c r="L578" s="50" t="s">
        <v>1474</v>
      </c>
      <c r="M578" s="50" t="s">
        <v>4682</v>
      </c>
      <c r="N578" s="50" t="s">
        <v>1531</v>
      </c>
      <c r="O578" s="47" t="s">
        <v>4683</v>
      </c>
      <c r="P578" s="47" t="s">
        <v>4684</v>
      </c>
      <c r="Q578" s="47" t="s">
        <v>1695</v>
      </c>
      <c r="R578" s="47" t="s">
        <v>1463</v>
      </c>
      <c r="S578" s="43"/>
      <c r="T578" s="49">
        <v>45329</v>
      </c>
    </row>
    <row r="579" spans="1:20" ht="26.45">
      <c r="A579" s="44" t="s">
        <v>241</v>
      </c>
      <c r="B579" s="44" t="s">
        <v>4685</v>
      </c>
      <c r="C579" s="45" t="s">
        <v>863</v>
      </c>
      <c r="D579" s="44" t="s">
        <v>1419</v>
      </c>
      <c r="E579" s="44" t="s">
        <v>1481</v>
      </c>
      <c r="F579" s="44"/>
      <c r="G579" s="44" t="s">
        <v>1466</v>
      </c>
      <c r="H579" s="44" t="s">
        <v>4686</v>
      </c>
      <c r="I579" s="46" t="s">
        <v>4687</v>
      </c>
      <c r="J579" s="46" t="s">
        <v>4688</v>
      </c>
      <c r="K579" s="46" t="s">
        <v>1503</v>
      </c>
      <c r="L579" s="46" t="s">
        <v>1504</v>
      </c>
      <c r="M579" s="46" t="s">
        <v>3830</v>
      </c>
      <c r="N579" s="46" t="s">
        <v>1476</v>
      </c>
      <c r="O579" s="44"/>
      <c r="P579" s="44" t="s">
        <v>4689</v>
      </c>
      <c r="Q579" s="44" t="s">
        <v>1463</v>
      </c>
      <c r="R579" s="44" t="s">
        <v>1463</v>
      </c>
      <c r="S579" s="43"/>
      <c r="T579" s="51">
        <v>45551</v>
      </c>
    </row>
    <row r="580" spans="1:20" ht="26.45">
      <c r="A580" s="47" t="s">
        <v>242</v>
      </c>
      <c r="B580" s="47" t="s">
        <v>4690</v>
      </c>
      <c r="C580" s="48" t="s">
        <v>864</v>
      </c>
      <c r="D580" s="47" t="s">
        <v>1432</v>
      </c>
      <c r="E580" s="47" t="s">
        <v>1481</v>
      </c>
      <c r="F580" s="47"/>
      <c r="G580" s="47" t="s">
        <v>1687</v>
      </c>
      <c r="H580" s="47" t="s">
        <v>4691</v>
      </c>
      <c r="I580" s="50" t="s">
        <v>4692</v>
      </c>
      <c r="J580" s="50" t="s">
        <v>4693</v>
      </c>
      <c r="K580" s="50" t="s">
        <v>4694</v>
      </c>
      <c r="L580" s="50" t="s">
        <v>1504</v>
      </c>
      <c r="M580" s="50" t="s">
        <v>4695</v>
      </c>
      <c r="N580" s="50" t="s">
        <v>1641</v>
      </c>
      <c r="O580" s="47" t="s">
        <v>4696</v>
      </c>
      <c r="P580" s="47" t="s">
        <v>4697</v>
      </c>
      <c r="Q580" s="47" t="s">
        <v>1695</v>
      </c>
      <c r="R580" s="47" t="s">
        <v>1463</v>
      </c>
      <c r="S580" s="43"/>
      <c r="T580" s="49">
        <v>45572</v>
      </c>
    </row>
    <row r="581" spans="1:20" ht="26.45">
      <c r="A581" s="44" t="s">
        <v>243</v>
      </c>
      <c r="B581" s="44" t="s">
        <v>4698</v>
      </c>
      <c r="C581" s="45" t="s">
        <v>865</v>
      </c>
      <c r="D581" s="44" t="s">
        <v>1419</v>
      </c>
      <c r="E581" s="44" t="s">
        <v>1481</v>
      </c>
      <c r="F581" s="44"/>
      <c r="G581" s="44" t="s">
        <v>1466</v>
      </c>
      <c r="H581" s="44" t="s">
        <v>4699</v>
      </c>
      <c r="I581" s="46" t="s">
        <v>4700</v>
      </c>
      <c r="J581" s="46" t="s">
        <v>4701</v>
      </c>
      <c r="K581" s="46" t="s">
        <v>3985</v>
      </c>
      <c r="L581" s="46" t="s">
        <v>1474</v>
      </c>
      <c r="M581" s="46" t="s">
        <v>4702</v>
      </c>
      <c r="N581" s="46" t="s">
        <v>1744</v>
      </c>
      <c r="O581" s="44" t="s">
        <v>4703</v>
      </c>
      <c r="P581" s="44" t="s">
        <v>4704</v>
      </c>
      <c r="Q581" s="44" t="s">
        <v>1463</v>
      </c>
      <c r="R581" s="44" t="s">
        <v>1463</v>
      </c>
      <c r="S581" s="43"/>
      <c r="T581" s="51">
        <v>45545</v>
      </c>
    </row>
    <row r="582" spans="1:20" ht="26.45">
      <c r="A582" s="47" t="s">
        <v>866</v>
      </c>
      <c r="B582" s="47" t="s">
        <v>4705</v>
      </c>
      <c r="C582" s="48" t="s">
        <v>867</v>
      </c>
      <c r="D582" s="47" t="s">
        <v>1419</v>
      </c>
      <c r="E582" s="47" t="s">
        <v>1481</v>
      </c>
      <c r="F582" s="47"/>
      <c r="G582" s="47" t="s">
        <v>1687</v>
      </c>
      <c r="H582" s="47" t="s">
        <v>4706</v>
      </c>
      <c r="I582" s="50" t="s">
        <v>867</v>
      </c>
      <c r="J582" s="50" t="s">
        <v>4707</v>
      </c>
      <c r="K582" s="50" t="s">
        <v>3523</v>
      </c>
      <c r="L582" s="50" t="s">
        <v>1474</v>
      </c>
      <c r="M582" s="50" t="s">
        <v>4708</v>
      </c>
      <c r="N582" s="50" t="s">
        <v>1495</v>
      </c>
      <c r="O582" s="47" t="s">
        <v>4709</v>
      </c>
      <c r="P582" s="47" t="s">
        <v>4710</v>
      </c>
      <c r="Q582" s="47" t="s">
        <v>1463</v>
      </c>
      <c r="R582" s="47" t="s">
        <v>1463</v>
      </c>
      <c r="S582" s="43"/>
      <c r="T582" s="49">
        <v>45468</v>
      </c>
    </row>
    <row r="583" spans="1:20" ht="26.45">
      <c r="A583" s="44" t="s">
        <v>868</v>
      </c>
      <c r="B583" s="44" t="s">
        <v>4711</v>
      </c>
      <c r="C583" s="45" t="s">
        <v>869</v>
      </c>
      <c r="D583" s="44" t="s">
        <v>1419</v>
      </c>
      <c r="E583" s="44" t="s">
        <v>1481</v>
      </c>
      <c r="F583" s="44"/>
      <c r="G583" s="44" t="s">
        <v>1466</v>
      </c>
      <c r="H583" s="44" t="s">
        <v>4712</v>
      </c>
      <c r="I583" s="46" t="s">
        <v>869</v>
      </c>
      <c r="J583" s="46" t="s">
        <v>4713</v>
      </c>
      <c r="K583" s="46" t="s">
        <v>1503</v>
      </c>
      <c r="L583" s="46" t="s">
        <v>1474</v>
      </c>
      <c r="M583" s="46" t="s">
        <v>4714</v>
      </c>
      <c r="N583" s="46" t="s">
        <v>1516</v>
      </c>
      <c r="O583" s="44" t="s">
        <v>4715</v>
      </c>
      <c r="P583" s="44" t="s">
        <v>4716</v>
      </c>
      <c r="Q583" s="44" t="s">
        <v>1463</v>
      </c>
      <c r="R583" s="44" t="s">
        <v>1463</v>
      </c>
      <c r="S583" s="43"/>
      <c r="T583" s="51">
        <v>45545</v>
      </c>
    </row>
    <row r="584" spans="1:20" ht="26.45">
      <c r="A584" s="47" t="s">
        <v>244</v>
      </c>
      <c r="B584" s="47" t="s">
        <v>4717</v>
      </c>
      <c r="C584" s="48" t="s">
        <v>870</v>
      </c>
      <c r="D584" s="47" t="s">
        <v>1419</v>
      </c>
      <c r="E584" s="47" t="s">
        <v>1481</v>
      </c>
      <c r="F584" s="47"/>
      <c r="G584" s="47" t="s">
        <v>1466</v>
      </c>
      <c r="H584" s="47" t="s">
        <v>4718</v>
      </c>
      <c r="I584" s="50" t="s">
        <v>4719</v>
      </c>
      <c r="J584" s="50" t="s">
        <v>4720</v>
      </c>
      <c r="K584" s="50" t="s">
        <v>1549</v>
      </c>
      <c r="L584" s="50" t="s">
        <v>1474</v>
      </c>
      <c r="M584" s="50" t="s">
        <v>4721</v>
      </c>
      <c r="N584" s="50" t="s">
        <v>1729</v>
      </c>
      <c r="O584" s="47" t="s">
        <v>4722</v>
      </c>
      <c r="P584" s="47" t="s">
        <v>4723</v>
      </c>
      <c r="Q584" s="47" t="s">
        <v>1463</v>
      </c>
      <c r="R584" s="47" t="s">
        <v>1463</v>
      </c>
      <c r="S584" s="43"/>
      <c r="T584" s="49">
        <v>45327</v>
      </c>
    </row>
    <row r="585" spans="1:20">
      <c r="A585" s="44" t="s">
        <v>4724</v>
      </c>
      <c r="B585" s="44"/>
      <c r="C585" s="45" t="s">
        <v>4725</v>
      </c>
      <c r="D585" s="44" t="s">
        <v>1419</v>
      </c>
      <c r="E585" s="44" t="s">
        <v>1460</v>
      </c>
      <c r="F585" s="51">
        <v>41457.382442210597</v>
      </c>
      <c r="G585" s="44" t="s">
        <v>1466</v>
      </c>
      <c r="H585" s="44"/>
      <c r="I585" s="46"/>
      <c r="J585" s="46"/>
      <c r="K585" s="46"/>
      <c r="L585" s="46"/>
      <c r="M585" s="46"/>
      <c r="N585" s="46"/>
      <c r="O585" s="44"/>
      <c r="P585" s="44"/>
      <c r="Q585" s="44" t="s">
        <v>1463</v>
      </c>
      <c r="R585" s="44" t="s">
        <v>1463</v>
      </c>
      <c r="S585" s="43"/>
      <c r="T585" s="44"/>
    </row>
    <row r="586" spans="1:20" ht="26.45">
      <c r="A586" s="47" t="s">
        <v>245</v>
      </c>
      <c r="B586" s="47" t="s">
        <v>4726</v>
      </c>
      <c r="C586" s="48" t="s">
        <v>871</v>
      </c>
      <c r="D586" s="47" t="s">
        <v>1414</v>
      </c>
      <c r="E586" s="47" t="s">
        <v>1481</v>
      </c>
      <c r="F586" s="47"/>
      <c r="G586" s="47" t="s">
        <v>1466</v>
      </c>
      <c r="H586" s="47" t="s">
        <v>4727</v>
      </c>
      <c r="I586" s="50" t="s">
        <v>4728</v>
      </c>
      <c r="J586" s="50" t="s">
        <v>4729</v>
      </c>
      <c r="K586" s="50" t="s">
        <v>1484</v>
      </c>
      <c r="L586" s="50" t="s">
        <v>1504</v>
      </c>
      <c r="M586" s="50" t="s">
        <v>4730</v>
      </c>
      <c r="N586" s="50" t="s">
        <v>1531</v>
      </c>
      <c r="O586" s="47" t="s">
        <v>4731</v>
      </c>
      <c r="P586" s="47" t="s">
        <v>4732</v>
      </c>
      <c r="Q586" s="47" t="s">
        <v>1463</v>
      </c>
      <c r="R586" s="47" t="s">
        <v>1463</v>
      </c>
      <c r="S586" s="43"/>
      <c r="T586" s="49">
        <v>45364</v>
      </c>
    </row>
    <row r="587" spans="1:20" ht="26.45">
      <c r="A587" s="44" t="s">
        <v>4733</v>
      </c>
      <c r="B587" s="44" t="s">
        <v>4734</v>
      </c>
      <c r="C587" s="45" t="s">
        <v>4735</v>
      </c>
      <c r="D587" s="44" t="s">
        <v>1425</v>
      </c>
      <c r="E587" s="44" t="s">
        <v>1481</v>
      </c>
      <c r="F587" s="44"/>
      <c r="G587" s="44" t="s">
        <v>1490</v>
      </c>
      <c r="H587" s="44" t="s">
        <v>4736</v>
      </c>
      <c r="I587" s="46" t="s">
        <v>4735</v>
      </c>
      <c r="J587" s="46" t="s">
        <v>4737</v>
      </c>
      <c r="K587" s="46" t="s">
        <v>4153</v>
      </c>
      <c r="L587" s="46" t="s">
        <v>1504</v>
      </c>
      <c r="M587" s="46" t="s">
        <v>4738</v>
      </c>
      <c r="N587" s="46"/>
      <c r="O587" s="44"/>
      <c r="P587" s="44"/>
      <c r="Q587" s="44" t="s">
        <v>1463</v>
      </c>
      <c r="R587" s="44" t="s">
        <v>1463</v>
      </c>
      <c r="S587" s="43"/>
      <c r="T587" s="44"/>
    </row>
    <row r="588" spans="1:20">
      <c r="A588" s="47" t="s">
        <v>4739</v>
      </c>
      <c r="B588" s="47"/>
      <c r="C588" s="48" t="s">
        <v>4740</v>
      </c>
      <c r="D588" s="47" t="s">
        <v>1414</v>
      </c>
      <c r="E588" s="47" t="s">
        <v>1460</v>
      </c>
      <c r="F588" s="49">
        <v>41457.382443055598</v>
      </c>
      <c r="G588" s="47" t="s">
        <v>1466</v>
      </c>
      <c r="H588" s="47"/>
      <c r="I588" s="50"/>
      <c r="J588" s="50"/>
      <c r="K588" s="50"/>
      <c r="L588" s="50"/>
      <c r="M588" s="50"/>
      <c r="N588" s="50"/>
      <c r="O588" s="47"/>
      <c r="P588" s="47"/>
      <c r="Q588" s="47" t="s">
        <v>1463</v>
      </c>
      <c r="R588" s="47" t="s">
        <v>1463</v>
      </c>
      <c r="S588" s="43"/>
      <c r="T588" s="47"/>
    </row>
    <row r="589" spans="1:20" ht="26.45">
      <c r="A589" s="44" t="s">
        <v>246</v>
      </c>
      <c r="B589" s="44" t="s">
        <v>4741</v>
      </c>
      <c r="C589" s="45" t="s">
        <v>872</v>
      </c>
      <c r="D589" s="44" t="s">
        <v>1414</v>
      </c>
      <c r="E589" s="44" t="s">
        <v>1481</v>
      </c>
      <c r="F589" s="44"/>
      <c r="G589" s="44" t="s">
        <v>1466</v>
      </c>
      <c r="H589" s="44" t="s">
        <v>4742</v>
      </c>
      <c r="I589" s="46" t="s">
        <v>4743</v>
      </c>
      <c r="J589" s="46" t="s">
        <v>4744</v>
      </c>
      <c r="K589" s="46" t="s">
        <v>1484</v>
      </c>
      <c r="L589" s="46" t="s">
        <v>1474</v>
      </c>
      <c r="M589" s="46" t="s">
        <v>4745</v>
      </c>
      <c r="N589" s="46" t="s">
        <v>1495</v>
      </c>
      <c r="O589" s="44" t="s">
        <v>4746</v>
      </c>
      <c r="P589" s="44" t="s">
        <v>4747</v>
      </c>
      <c r="Q589" s="44" t="s">
        <v>1463</v>
      </c>
      <c r="R589" s="44" t="s">
        <v>1463</v>
      </c>
      <c r="S589" s="43"/>
      <c r="T589" s="51">
        <v>45676</v>
      </c>
    </row>
    <row r="590" spans="1:20" ht="26.45">
      <c r="A590" s="47" t="s">
        <v>873</v>
      </c>
      <c r="B590" s="47" t="s">
        <v>4748</v>
      </c>
      <c r="C590" s="48" t="s">
        <v>874</v>
      </c>
      <c r="D590" s="47" t="s">
        <v>1419</v>
      </c>
      <c r="E590" s="47" t="s">
        <v>1481</v>
      </c>
      <c r="F590" s="47"/>
      <c r="G590" s="47" t="s">
        <v>1466</v>
      </c>
      <c r="H590" s="47" t="s">
        <v>4749</v>
      </c>
      <c r="I590" s="50" t="s">
        <v>874</v>
      </c>
      <c r="J590" s="50" t="s">
        <v>4750</v>
      </c>
      <c r="K590" s="50" t="s">
        <v>3769</v>
      </c>
      <c r="L590" s="50" t="s">
        <v>1504</v>
      </c>
      <c r="M590" s="50" t="s">
        <v>4751</v>
      </c>
      <c r="N590" s="50" t="s">
        <v>1516</v>
      </c>
      <c r="O590" s="47" t="s">
        <v>4752</v>
      </c>
      <c r="P590" s="47" t="s">
        <v>4753</v>
      </c>
      <c r="Q590" s="47" t="s">
        <v>1463</v>
      </c>
      <c r="R590" s="47" t="s">
        <v>1463</v>
      </c>
      <c r="S590" s="43"/>
      <c r="T590" s="49">
        <v>45628</v>
      </c>
    </row>
    <row r="591" spans="1:20" ht="26.45">
      <c r="A591" s="44" t="s">
        <v>247</v>
      </c>
      <c r="B591" s="44" t="s">
        <v>4754</v>
      </c>
      <c r="C591" s="45" t="s">
        <v>875</v>
      </c>
      <c r="D591" s="44" t="s">
        <v>1419</v>
      </c>
      <c r="E591" s="44" t="s">
        <v>1481</v>
      </c>
      <c r="F591" s="44"/>
      <c r="G591" s="44" t="s">
        <v>1687</v>
      </c>
      <c r="H591" s="44" t="s">
        <v>4755</v>
      </c>
      <c r="I591" s="46" t="s">
        <v>875</v>
      </c>
      <c r="J591" s="46" t="s">
        <v>4756</v>
      </c>
      <c r="K591" s="46" t="s">
        <v>1888</v>
      </c>
      <c r="L591" s="46" t="s">
        <v>1474</v>
      </c>
      <c r="M591" s="46" t="s">
        <v>4757</v>
      </c>
      <c r="N591" s="46" t="s">
        <v>1744</v>
      </c>
      <c r="O591" s="44" t="s">
        <v>4758</v>
      </c>
      <c r="P591" s="44" t="s">
        <v>4759</v>
      </c>
      <c r="Q591" s="44" t="s">
        <v>1463</v>
      </c>
      <c r="R591" s="44" t="s">
        <v>1463</v>
      </c>
      <c r="S591" s="43"/>
      <c r="T591" s="51">
        <v>45616</v>
      </c>
    </row>
    <row r="592" spans="1:20">
      <c r="A592" s="47" t="s">
        <v>4760</v>
      </c>
      <c r="B592" s="47" t="s">
        <v>4761</v>
      </c>
      <c r="C592" s="48" t="s">
        <v>4762</v>
      </c>
      <c r="D592" s="47" t="s">
        <v>1419</v>
      </c>
      <c r="E592" s="47" t="s">
        <v>1460</v>
      </c>
      <c r="F592" s="49">
        <v>41592.681727858799</v>
      </c>
      <c r="G592" s="47" t="s">
        <v>1466</v>
      </c>
      <c r="H592" s="47" t="s">
        <v>4763</v>
      </c>
      <c r="I592" s="50" t="s">
        <v>4762</v>
      </c>
      <c r="J592" s="50" t="s">
        <v>4764</v>
      </c>
      <c r="K592" s="50" t="s">
        <v>2213</v>
      </c>
      <c r="L592" s="50" t="s">
        <v>1504</v>
      </c>
      <c r="M592" s="50" t="s">
        <v>4765</v>
      </c>
      <c r="N592" s="50"/>
      <c r="O592" s="47" t="s">
        <v>4766</v>
      </c>
      <c r="P592" s="47"/>
      <c r="Q592" s="47" t="s">
        <v>1463</v>
      </c>
      <c r="R592" s="47" t="s">
        <v>1463</v>
      </c>
      <c r="S592" s="43"/>
      <c r="T592" s="49">
        <v>42685</v>
      </c>
    </row>
    <row r="593" spans="1:20" ht="26.45">
      <c r="A593" s="44" t="s">
        <v>248</v>
      </c>
      <c r="B593" s="44" t="s">
        <v>4767</v>
      </c>
      <c r="C593" s="45" t="s">
        <v>876</v>
      </c>
      <c r="D593" s="44" t="s">
        <v>1420</v>
      </c>
      <c r="E593" s="44" t="s">
        <v>1481</v>
      </c>
      <c r="F593" s="44"/>
      <c r="G593" s="44" t="s">
        <v>1687</v>
      </c>
      <c r="H593" s="44" t="s">
        <v>4768</v>
      </c>
      <c r="I593" s="46" t="s">
        <v>4769</v>
      </c>
      <c r="J593" s="46" t="s">
        <v>4770</v>
      </c>
      <c r="K593" s="46" t="s">
        <v>2480</v>
      </c>
      <c r="L593" s="46" t="s">
        <v>1474</v>
      </c>
      <c r="M593" s="46" t="s">
        <v>4771</v>
      </c>
      <c r="N593" s="46" t="s">
        <v>1531</v>
      </c>
      <c r="O593" s="44" t="s">
        <v>4772</v>
      </c>
      <c r="P593" s="44" t="s">
        <v>4773</v>
      </c>
      <c r="Q593" s="44" t="s">
        <v>1695</v>
      </c>
      <c r="R593" s="44" t="s">
        <v>1463</v>
      </c>
      <c r="S593" s="43"/>
      <c r="T593" s="51">
        <v>45518</v>
      </c>
    </row>
    <row r="594" spans="1:20" ht="26.45">
      <c r="A594" s="47" t="s">
        <v>249</v>
      </c>
      <c r="B594" s="47" t="s">
        <v>4774</v>
      </c>
      <c r="C594" s="48" t="s">
        <v>877</v>
      </c>
      <c r="D594" s="47" t="s">
        <v>1419</v>
      </c>
      <c r="E594" s="47" t="s">
        <v>1481</v>
      </c>
      <c r="F594" s="47"/>
      <c r="G594" s="47" t="s">
        <v>1466</v>
      </c>
      <c r="H594" s="47" t="s">
        <v>4775</v>
      </c>
      <c r="I594" s="50" t="s">
        <v>4776</v>
      </c>
      <c r="J594" s="50" t="s">
        <v>4777</v>
      </c>
      <c r="K594" s="50" t="s">
        <v>2728</v>
      </c>
      <c r="L594" s="50" t="s">
        <v>1504</v>
      </c>
      <c r="M594" s="50" t="s">
        <v>4778</v>
      </c>
      <c r="N594" s="50" t="s">
        <v>1525</v>
      </c>
      <c r="O594" s="47" t="s">
        <v>4779</v>
      </c>
      <c r="P594" s="47" t="s">
        <v>4780</v>
      </c>
      <c r="Q594" s="47" t="s">
        <v>1463</v>
      </c>
      <c r="R594" s="47" t="s">
        <v>1463</v>
      </c>
      <c r="S594" s="43"/>
      <c r="T594" s="49">
        <v>45560</v>
      </c>
    </row>
    <row r="595" spans="1:20" ht="26.45">
      <c r="A595" s="44" t="s">
        <v>250</v>
      </c>
      <c r="B595" s="44" t="s">
        <v>4781</v>
      </c>
      <c r="C595" s="45" t="s">
        <v>878</v>
      </c>
      <c r="D595" s="44" t="s">
        <v>1432</v>
      </c>
      <c r="E595" s="44" t="s">
        <v>1481</v>
      </c>
      <c r="F595" s="44"/>
      <c r="G595" s="44" t="s">
        <v>1687</v>
      </c>
      <c r="H595" s="44" t="s">
        <v>4782</v>
      </c>
      <c r="I595" s="46" t="s">
        <v>4783</v>
      </c>
      <c r="J595" s="46" t="s">
        <v>4784</v>
      </c>
      <c r="K595" s="46" t="s">
        <v>4785</v>
      </c>
      <c r="L595" s="46" t="s">
        <v>1474</v>
      </c>
      <c r="M595" s="46" t="s">
        <v>4786</v>
      </c>
      <c r="N595" s="46" t="s">
        <v>1531</v>
      </c>
      <c r="O595" s="44" t="s">
        <v>4787</v>
      </c>
      <c r="P595" s="44" t="s">
        <v>4788</v>
      </c>
      <c r="Q595" s="44" t="s">
        <v>1695</v>
      </c>
      <c r="R595" s="44" t="s">
        <v>1463</v>
      </c>
      <c r="S595" s="43"/>
      <c r="T595" s="51">
        <v>45595</v>
      </c>
    </row>
    <row r="596" spans="1:20" ht="26.45">
      <c r="A596" s="47" t="s">
        <v>4789</v>
      </c>
      <c r="B596" s="47" t="s">
        <v>4790</v>
      </c>
      <c r="C596" s="48" t="s">
        <v>4791</v>
      </c>
      <c r="D596" s="47" t="s">
        <v>1419</v>
      </c>
      <c r="E596" s="47" t="s">
        <v>1481</v>
      </c>
      <c r="F596" s="47"/>
      <c r="G596" s="47" t="s">
        <v>1490</v>
      </c>
      <c r="H596" s="47" t="s">
        <v>4792</v>
      </c>
      <c r="I596" s="50" t="s">
        <v>4791</v>
      </c>
      <c r="J596" s="50" t="s">
        <v>4793</v>
      </c>
      <c r="K596" s="50" t="s">
        <v>1523</v>
      </c>
      <c r="L596" s="50" t="s">
        <v>1504</v>
      </c>
      <c r="M596" s="50" t="s">
        <v>4794</v>
      </c>
      <c r="N596" s="50" t="s">
        <v>1495</v>
      </c>
      <c r="O596" s="47" t="s">
        <v>4795</v>
      </c>
      <c r="P596" s="47"/>
      <c r="Q596" s="47" t="s">
        <v>1695</v>
      </c>
      <c r="R596" s="47" t="s">
        <v>1463</v>
      </c>
      <c r="S596" s="43"/>
      <c r="T596" s="49">
        <v>44795</v>
      </c>
    </row>
    <row r="597" spans="1:20">
      <c r="A597" s="44" t="s">
        <v>4796</v>
      </c>
      <c r="B597" s="44" t="s">
        <v>4797</v>
      </c>
      <c r="C597" s="45" t="s">
        <v>4798</v>
      </c>
      <c r="D597" s="44" t="s">
        <v>1419</v>
      </c>
      <c r="E597" s="44" t="s">
        <v>1460</v>
      </c>
      <c r="F597" s="51">
        <v>42886.7043227662</v>
      </c>
      <c r="G597" s="44" t="s">
        <v>1466</v>
      </c>
      <c r="H597" s="44" t="s">
        <v>4799</v>
      </c>
      <c r="I597" s="46" t="s">
        <v>4798</v>
      </c>
      <c r="J597" s="46" t="s">
        <v>4800</v>
      </c>
      <c r="K597" s="46" t="s">
        <v>1493</v>
      </c>
      <c r="L597" s="46" t="s">
        <v>1504</v>
      </c>
      <c r="M597" s="46" t="s">
        <v>4801</v>
      </c>
      <c r="N597" s="46" t="s">
        <v>1495</v>
      </c>
      <c r="O597" s="44" t="s">
        <v>4802</v>
      </c>
      <c r="P597" s="44"/>
      <c r="Q597" s="44" t="s">
        <v>1463</v>
      </c>
      <c r="R597" s="44" t="s">
        <v>1463</v>
      </c>
      <c r="S597" s="43"/>
      <c r="T597" s="51">
        <v>42961</v>
      </c>
    </row>
    <row r="598" spans="1:20">
      <c r="A598" s="47" t="s">
        <v>4803</v>
      </c>
      <c r="B598" s="47"/>
      <c r="C598" s="48" t="s">
        <v>4804</v>
      </c>
      <c r="D598" s="47" t="s">
        <v>1432</v>
      </c>
      <c r="E598" s="47" t="s">
        <v>1460</v>
      </c>
      <c r="F598" s="49">
        <v>41457.382442939801</v>
      </c>
      <c r="G598" s="47" t="s">
        <v>1466</v>
      </c>
      <c r="H598" s="47"/>
      <c r="I598" s="50"/>
      <c r="J598" s="50"/>
      <c r="K598" s="50"/>
      <c r="L598" s="50"/>
      <c r="M598" s="50"/>
      <c r="N598" s="50"/>
      <c r="O598" s="47"/>
      <c r="P598" s="47"/>
      <c r="Q598" s="47" t="s">
        <v>1463</v>
      </c>
      <c r="R598" s="47" t="s">
        <v>1463</v>
      </c>
      <c r="S598" s="43"/>
      <c r="T598" s="47"/>
    </row>
    <row r="599" spans="1:20" ht="26.45">
      <c r="A599" s="44" t="s">
        <v>251</v>
      </c>
      <c r="B599" s="44" t="s">
        <v>4805</v>
      </c>
      <c r="C599" s="45" t="s">
        <v>880</v>
      </c>
      <c r="D599" s="44" t="s">
        <v>1419</v>
      </c>
      <c r="E599" s="44" t="s">
        <v>1481</v>
      </c>
      <c r="F599" s="44"/>
      <c r="G599" s="44" t="s">
        <v>1466</v>
      </c>
      <c r="H599" s="44" t="s">
        <v>4806</v>
      </c>
      <c r="I599" s="46" t="s">
        <v>4807</v>
      </c>
      <c r="J599" s="46" t="s">
        <v>4808</v>
      </c>
      <c r="K599" s="46" t="s">
        <v>1493</v>
      </c>
      <c r="L599" s="46" t="s">
        <v>1504</v>
      </c>
      <c r="M599" s="46" t="s">
        <v>4809</v>
      </c>
      <c r="N599" s="46" t="s">
        <v>1516</v>
      </c>
      <c r="O599" s="44" t="s">
        <v>4810</v>
      </c>
      <c r="P599" s="44" t="s">
        <v>4811</v>
      </c>
      <c r="Q599" s="44" t="s">
        <v>1463</v>
      </c>
      <c r="R599" s="44" t="s">
        <v>1463</v>
      </c>
      <c r="S599" s="43"/>
      <c r="T599" s="51">
        <v>45608</v>
      </c>
    </row>
    <row r="600" spans="1:20" ht="26.45">
      <c r="A600" s="47" t="s">
        <v>879</v>
      </c>
      <c r="B600" s="47" t="s">
        <v>4812</v>
      </c>
      <c r="C600" s="48" t="s">
        <v>880</v>
      </c>
      <c r="D600" s="47" t="s">
        <v>1419</v>
      </c>
      <c r="E600" s="47" t="s">
        <v>1481</v>
      </c>
      <c r="F600" s="47"/>
      <c r="G600" s="47" t="s">
        <v>1466</v>
      </c>
      <c r="H600" s="47" t="s">
        <v>4813</v>
      </c>
      <c r="I600" s="50" t="s">
        <v>4807</v>
      </c>
      <c r="J600" s="50" t="s">
        <v>4808</v>
      </c>
      <c r="K600" s="50" t="s">
        <v>1493</v>
      </c>
      <c r="L600" s="50" t="s">
        <v>1504</v>
      </c>
      <c r="M600" s="50" t="s">
        <v>4809</v>
      </c>
      <c r="N600" s="50" t="s">
        <v>1516</v>
      </c>
      <c r="O600" s="47" t="s">
        <v>4810</v>
      </c>
      <c r="P600" s="47" t="s">
        <v>4811</v>
      </c>
      <c r="Q600" s="47" t="s">
        <v>1463</v>
      </c>
      <c r="R600" s="47" t="s">
        <v>1463</v>
      </c>
      <c r="S600" s="43"/>
      <c r="T600" s="49">
        <v>45608</v>
      </c>
    </row>
    <row r="601" spans="1:20">
      <c r="A601" s="44" t="s">
        <v>4814</v>
      </c>
      <c r="B601" s="44"/>
      <c r="C601" s="45" t="s">
        <v>4815</v>
      </c>
      <c r="D601" s="44" t="s">
        <v>1419</v>
      </c>
      <c r="E601" s="44" t="s">
        <v>1460</v>
      </c>
      <c r="F601" s="51">
        <v>41457.382442094902</v>
      </c>
      <c r="G601" s="44" t="s">
        <v>1466</v>
      </c>
      <c r="H601" s="44"/>
      <c r="I601" s="46"/>
      <c r="J601" s="46"/>
      <c r="K601" s="46"/>
      <c r="L601" s="46"/>
      <c r="M601" s="46"/>
      <c r="N601" s="46"/>
      <c r="O601" s="44"/>
      <c r="P601" s="44"/>
      <c r="Q601" s="44" t="s">
        <v>1463</v>
      </c>
      <c r="R601" s="44" t="s">
        <v>1463</v>
      </c>
      <c r="S601" s="43"/>
      <c r="T601" s="44"/>
    </row>
    <row r="602" spans="1:20">
      <c r="A602" s="47" t="s">
        <v>4816</v>
      </c>
      <c r="B602" s="47" t="s">
        <v>4817</v>
      </c>
      <c r="C602" s="48" t="s">
        <v>4818</v>
      </c>
      <c r="D602" s="47" t="s">
        <v>1432</v>
      </c>
      <c r="E602" s="47" t="s">
        <v>1481</v>
      </c>
      <c r="F602" s="47"/>
      <c r="G602" s="47" t="s">
        <v>1618</v>
      </c>
      <c r="H602" s="47"/>
      <c r="I602" s="50"/>
      <c r="J602" s="50"/>
      <c r="K602" s="50"/>
      <c r="L602" s="50"/>
      <c r="M602" s="50"/>
      <c r="N602" s="50"/>
      <c r="O602" s="47"/>
      <c r="P602" s="47"/>
      <c r="Q602" s="47" t="s">
        <v>1463</v>
      </c>
      <c r="R602" s="47" t="s">
        <v>1463</v>
      </c>
      <c r="S602" s="43"/>
      <c r="T602" s="47"/>
    </row>
    <row r="603" spans="1:20">
      <c r="A603" s="44" t="s">
        <v>4819</v>
      </c>
      <c r="B603" s="44"/>
      <c r="C603" s="45" t="s">
        <v>4820</v>
      </c>
      <c r="D603" s="44" t="s">
        <v>1432</v>
      </c>
      <c r="E603" s="44" t="s">
        <v>1460</v>
      </c>
      <c r="F603" s="51">
        <v>41995.858648495399</v>
      </c>
      <c r="G603" s="44" t="s">
        <v>1466</v>
      </c>
      <c r="H603" s="44"/>
      <c r="I603" s="46"/>
      <c r="J603" s="46"/>
      <c r="K603" s="46"/>
      <c r="L603" s="46"/>
      <c r="M603" s="46"/>
      <c r="N603" s="46"/>
      <c r="O603" s="44"/>
      <c r="P603" s="44"/>
      <c r="Q603" s="44" t="s">
        <v>1463</v>
      </c>
      <c r="R603" s="44" t="s">
        <v>1463</v>
      </c>
      <c r="S603" s="43"/>
      <c r="T603" s="44"/>
    </row>
    <row r="604" spans="1:20" ht="26.45">
      <c r="A604" s="47" t="s">
        <v>4821</v>
      </c>
      <c r="B604" s="47"/>
      <c r="C604" s="48" t="s">
        <v>4822</v>
      </c>
      <c r="D604" s="47" t="s">
        <v>1420</v>
      </c>
      <c r="E604" s="47" t="s">
        <v>1460</v>
      </c>
      <c r="F604" s="49">
        <v>41474.645811886599</v>
      </c>
      <c r="G604" s="47" t="s">
        <v>1466</v>
      </c>
      <c r="H604" s="47"/>
      <c r="I604" s="50"/>
      <c r="J604" s="50"/>
      <c r="K604" s="50"/>
      <c r="L604" s="50"/>
      <c r="M604" s="50"/>
      <c r="N604" s="50"/>
      <c r="O604" s="47"/>
      <c r="P604" s="47"/>
      <c r="Q604" s="47" t="s">
        <v>1463</v>
      </c>
      <c r="R604" s="47" t="s">
        <v>1463</v>
      </c>
      <c r="S604" s="43"/>
      <c r="T604" s="47"/>
    </row>
    <row r="605" spans="1:20" ht="26.45">
      <c r="A605" s="44" t="s">
        <v>4823</v>
      </c>
      <c r="B605" s="44" t="s">
        <v>4824</v>
      </c>
      <c r="C605" s="45" t="s">
        <v>4825</v>
      </c>
      <c r="D605" s="44" t="s">
        <v>1419</v>
      </c>
      <c r="E605" s="44" t="s">
        <v>1481</v>
      </c>
      <c r="F605" s="44"/>
      <c r="G605" s="44" t="s">
        <v>1466</v>
      </c>
      <c r="H605" s="44" t="s">
        <v>4826</v>
      </c>
      <c r="I605" s="46"/>
      <c r="J605" s="46"/>
      <c r="K605" s="46"/>
      <c r="L605" s="46"/>
      <c r="M605" s="46"/>
      <c r="N605" s="46"/>
      <c r="O605" s="44"/>
      <c r="P605" s="44"/>
      <c r="Q605" s="44" t="s">
        <v>1463</v>
      </c>
      <c r="R605" s="44" t="s">
        <v>1463</v>
      </c>
      <c r="S605" s="43"/>
      <c r="T605" s="44"/>
    </row>
    <row r="606" spans="1:20" ht="26.45">
      <c r="A606" s="47" t="s">
        <v>252</v>
      </c>
      <c r="B606" s="47" t="s">
        <v>4827</v>
      </c>
      <c r="C606" s="48" t="s">
        <v>881</v>
      </c>
      <c r="D606" s="47" t="s">
        <v>1420</v>
      </c>
      <c r="E606" s="47" t="s">
        <v>1481</v>
      </c>
      <c r="F606" s="47"/>
      <c r="G606" s="47" t="s">
        <v>1687</v>
      </c>
      <c r="H606" s="47" t="s">
        <v>4828</v>
      </c>
      <c r="I606" s="50" t="s">
        <v>4829</v>
      </c>
      <c r="J606" s="50" t="s">
        <v>4830</v>
      </c>
      <c r="K606" s="50" t="s">
        <v>1654</v>
      </c>
      <c r="L606" s="50" t="s">
        <v>1504</v>
      </c>
      <c r="M606" s="50" t="s">
        <v>4831</v>
      </c>
      <c r="N606" s="50" t="s">
        <v>1531</v>
      </c>
      <c r="O606" s="47" t="s">
        <v>4832</v>
      </c>
      <c r="P606" s="47" t="s">
        <v>4833</v>
      </c>
      <c r="Q606" s="47" t="s">
        <v>1695</v>
      </c>
      <c r="R606" s="47" t="s">
        <v>1463</v>
      </c>
      <c r="S606" s="43"/>
      <c r="T606" s="49">
        <v>45463</v>
      </c>
    </row>
    <row r="607" spans="1:20" ht="39.6">
      <c r="A607" s="44" t="s">
        <v>4834</v>
      </c>
      <c r="B607" s="44" t="s">
        <v>4835</v>
      </c>
      <c r="C607" s="45" t="s">
        <v>4836</v>
      </c>
      <c r="D607" s="44" t="s">
        <v>1424</v>
      </c>
      <c r="E607" s="44" t="s">
        <v>1481</v>
      </c>
      <c r="F607" s="44"/>
      <c r="G607" s="44" t="s">
        <v>1511</v>
      </c>
      <c r="H607" s="44"/>
      <c r="I607" s="46"/>
      <c r="J607" s="46" t="s">
        <v>4837</v>
      </c>
      <c r="K607" s="46" t="s">
        <v>4838</v>
      </c>
      <c r="L607" s="46" t="s">
        <v>1504</v>
      </c>
      <c r="M607" s="46" t="s">
        <v>4839</v>
      </c>
      <c r="N607" s="46"/>
      <c r="O607" s="44" t="s">
        <v>4840</v>
      </c>
      <c r="P607" s="44"/>
      <c r="Q607" s="44" t="s">
        <v>1463</v>
      </c>
      <c r="R607" s="44" t="s">
        <v>1463</v>
      </c>
      <c r="S607" s="43"/>
      <c r="T607" s="51">
        <v>43208</v>
      </c>
    </row>
    <row r="608" spans="1:20" ht="26.45">
      <c r="A608" s="47" t="s">
        <v>253</v>
      </c>
      <c r="B608" s="47" t="s">
        <v>4841</v>
      </c>
      <c r="C608" s="48" t="s">
        <v>882</v>
      </c>
      <c r="D608" s="47" t="s">
        <v>1425</v>
      </c>
      <c r="E608" s="47" t="s">
        <v>1481</v>
      </c>
      <c r="F608" s="47"/>
      <c r="G608" s="47" t="s">
        <v>1687</v>
      </c>
      <c r="H608" s="47" t="s">
        <v>4842</v>
      </c>
      <c r="I608" s="50" t="s">
        <v>4843</v>
      </c>
      <c r="J608" s="50" t="s">
        <v>4844</v>
      </c>
      <c r="K608" s="50" t="s">
        <v>4845</v>
      </c>
      <c r="L608" s="50" t="s">
        <v>1504</v>
      </c>
      <c r="M608" s="50" t="s">
        <v>4846</v>
      </c>
      <c r="N608" s="50" t="s">
        <v>1476</v>
      </c>
      <c r="O608" s="47" t="s">
        <v>4847</v>
      </c>
      <c r="P608" s="47" t="s">
        <v>4848</v>
      </c>
      <c r="Q608" s="47" t="s">
        <v>1695</v>
      </c>
      <c r="R608" s="47" t="s">
        <v>1463</v>
      </c>
      <c r="S608" s="43"/>
      <c r="T608" s="49">
        <v>45330</v>
      </c>
    </row>
    <row r="609" spans="1:20" ht="26.45">
      <c r="A609" s="44" t="s">
        <v>254</v>
      </c>
      <c r="B609" s="44" t="s">
        <v>4849</v>
      </c>
      <c r="C609" s="45" t="s">
        <v>883</v>
      </c>
      <c r="D609" s="44" t="s">
        <v>1419</v>
      </c>
      <c r="E609" s="44" t="s">
        <v>1481</v>
      </c>
      <c r="F609" s="44"/>
      <c r="G609" s="44" t="s">
        <v>1466</v>
      </c>
      <c r="H609" s="44" t="s">
        <v>4850</v>
      </c>
      <c r="I609" s="46" t="s">
        <v>4851</v>
      </c>
      <c r="J609" s="46" t="s">
        <v>4852</v>
      </c>
      <c r="K609" s="46" t="s">
        <v>1691</v>
      </c>
      <c r="L609" s="46" t="s">
        <v>1504</v>
      </c>
      <c r="M609" s="46" t="s">
        <v>4853</v>
      </c>
      <c r="N609" s="46" t="s">
        <v>1629</v>
      </c>
      <c r="O609" s="44" t="s">
        <v>4854</v>
      </c>
      <c r="P609" s="44" t="s">
        <v>4855</v>
      </c>
      <c r="Q609" s="44" t="s">
        <v>1463</v>
      </c>
      <c r="R609" s="44" t="s">
        <v>1463</v>
      </c>
      <c r="S609" s="43"/>
      <c r="T609" s="51">
        <v>45329</v>
      </c>
    </row>
    <row r="610" spans="1:20" ht="26.45">
      <c r="A610" s="47" t="s">
        <v>884</v>
      </c>
      <c r="B610" s="47" t="s">
        <v>4856</v>
      </c>
      <c r="C610" s="48" t="s">
        <v>885</v>
      </c>
      <c r="D610" s="47" t="s">
        <v>1419</v>
      </c>
      <c r="E610" s="47" t="s">
        <v>1481</v>
      </c>
      <c r="F610" s="47"/>
      <c r="G610" s="47" t="s">
        <v>1466</v>
      </c>
      <c r="H610" s="47" t="s">
        <v>4857</v>
      </c>
      <c r="I610" s="50" t="s">
        <v>4858</v>
      </c>
      <c r="J610" s="50" t="s">
        <v>4859</v>
      </c>
      <c r="K610" s="50" t="s">
        <v>1691</v>
      </c>
      <c r="L610" s="50" t="s">
        <v>1504</v>
      </c>
      <c r="M610" s="50" t="s">
        <v>4853</v>
      </c>
      <c r="N610" s="50" t="s">
        <v>1629</v>
      </c>
      <c r="O610" s="47" t="s">
        <v>4860</v>
      </c>
      <c r="P610" s="47" t="s">
        <v>4861</v>
      </c>
      <c r="Q610" s="47" t="s">
        <v>1463</v>
      </c>
      <c r="R610" s="47" t="s">
        <v>1463</v>
      </c>
      <c r="S610" s="43"/>
      <c r="T610" s="49">
        <v>45369</v>
      </c>
    </row>
    <row r="611" spans="1:20" ht="26.45">
      <c r="A611" s="44" t="s">
        <v>886</v>
      </c>
      <c r="B611" s="44" t="s">
        <v>4862</v>
      </c>
      <c r="C611" s="45" t="s">
        <v>887</v>
      </c>
      <c r="D611" s="44" t="s">
        <v>1419</v>
      </c>
      <c r="E611" s="44" t="s">
        <v>1481</v>
      </c>
      <c r="F611" s="44"/>
      <c r="G611" s="44" t="s">
        <v>1466</v>
      </c>
      <c r="H611" s="44" t="s">
        <v>4863</v>
      </c>
      <c r="I611" s="46" t="s">
        <v>4864</v>
      </c>
      <c r="J611" s="46" t="s">
        <v>4865</v>
      </c>
      <c r="K611" s="46" t="s">
        <v>1493</v>
      </c>
      <c r="L611" s="46" t="s">
        <v>1474</v>
      </c>
      <c r="M611" s="46" t="s">
        <v>4866</v>
      </c>
      <c r="N611" s="46" t="s">
        <v>1495</v>
      </c>
      <c r="O611" s="44" t="s">
        <v>4867</v>
      </c>
      <c r="P611" s="44" t="s">
        <v>4868</v>
      </c>
      <c r="Q611" s="44" t="s">
        <v>1463</v>
      </c>
      <c r="R611" s="44" t="s">
        <v>1463</v>
      </c>
      <c r="S611" s="43"/>
      <c r="T611" s="51">
        <v>45490</v>
      </c>
    </row>
    <row r="612" spans="1:20" ht="26.45">
      <c r="A612" s="47" t="s">
        <v>255</v>
      </c>
      <c r="B612" s="47" t="s">
        <v>4869</v>
      </c>
      <c r="C612" s="48" t="s">
        <v>888</v>
      </c>
      <c r="D612" s="47" t="s">
        <v>1419</v>
      </c>
      <c r="E612" s="47" t="s">
        <v>1481</v>
      </c>
      <c r="F612" s="47"/>
      <c r="G612" s="47" t="s">
        <v>1466</v>
      </c>
      <c r="H612" s="47" t="s">
        <v>4870</v>
      </c>
      <c r="I612" s="50" t="s">
        <v>4871</v>
      </c>
      <c r="J612" s="50" t="s">
        <v>4872</v>
      </c>
      <c r="K612" s="50" t="s">
        <v>1493</v>
      </c>
      <c r="L612" s="50" t="s">
        <v>1474</v>
      </c>
      <c r="M612" s="50" t="s">
        <v>4873</v>
      </c>
      <c r="N612" s="50" t="s">
        <v>1629</v>
      </c>
      <c r="O612" s="47" t="s">
        <v>4874</v>
      </c>
      <c r="P612" s="47" t="s">
        <v>4875</v>
      </c>
      <c r="Q612" s="47" t="s">
        <v>1463</v>
      </c>
      <c r="R612" s="47" t="s">
        <v>1463</v>
      </c>
      <c r="S612" s="43"/>
      <c r="T612" s="49">
        <v>45496</v>
      </c>
    </row>
    <row r="613" spans="1:20" ht="26.45">
      <c r="A613" s="44" t="s">
        <v>256</v>
      </c>
      <c r="B613" s="44" t="s">
        <v>4876</v>
      </c>
      <c r="C613" s="45" t="s">
        <v>889</v>
      </c>
      <c r="D613" s="44" t="s">
        <v>1419</v>
      </c>
      <c r="E613" s="44" t="s">
        <v>1481</v>
      </c>
      <c r="F613" s="44"/>
      <c r="G613" s="44" t="s">
        <v>1466</v>
      </c>
      <c r="H613" s="44" t="s">
        <v>4877</v>
      </c>
      <c r="I613" s="46" t="s">
        <v>4878</v>
      </c>
      <c r="J613" s="46" t="s">
        <v>4879</v>
      </c>
      <c r="K613" s="46" t="s">
        <v>1493</v>
      </c>
      <c r="L613" s="46" t="s">
        <v>1474</v>
      </c>
      <c r="M613" s="46" t="s">
        <v>4880</v>
      </c>
      <c r="N613" s="46" t="s">
        <v>1495</v>
      </c>
      <c r="O613" s="44" t="s">
        <v>4881</v>
      </c>
      <c r="P613" s="44" t="s">
        <v>4882</v>
      </c>
      <c r="Q613" s="44" t="s">
        <v>1463</v>
      </c>
      <c r="R613" s="44" t="s">
        <v>1463</v>
      </c>
      <c r="S613" s="43"/>
      <c r="T613" s="51">
        <v>45322</v>
      </c>
    </row>
    <row r="614" spans="1:20" ht="26.45">
      <c r="A614" s="47" t="s">
        <v>257</v>
      </c>
      <c r="B614" s="47" t="s">
        <v>4883</v>
      </c>
      <c r="C614" s="48" t="s">
        <v>890</v>
      </c>
      <c r="D614" s="47" t="s">
        <v>1419</v>
      </c>
      <c r="E614" s="47" t="s">
        <v>1481</v>
      </c>
      <c r="F614" s="47"/>
      <c r="G614" s="47" t="s">
        <v>1466</v>
      </c>
      <c r="H614" s="47" t="s">
        <v>4884</v>
      </c>
      <c r="I614" s="50" t="s">
        <v>4885</v>
      </c>
      <c r="J614" s="50" t="s">
        <v>4886</v>
      </c>
      <c r="K614" s="50" t="s">
        <v>1772</v>
      </c>
      <c r="L614" s="50" t="s">
        <v>1474</v>
      </c>
      <c r="M614" s="50" t="s">
        <v>4887</v>
      </c>
      <c r="N614" s="50" t="s">
        <v>1531</v>
      </c>
      <c r="O614" s="47" t="s">
        <v>4888</v>
      </c>
      <c r="P614" s="47" t="s">
        <v>4889</v>
      </c>
      <c r="Q614" s="47" t="s">
        <v>1463</v>
      </c>
      <c r="R614" s="47" t="s">
        <v>1463</v>
      </c>
      <c r="S614" s="43"/>
      <c r="T614" s="49">
        <v>45581</v>
      </c>
    </row>
    <row r="615" spans="1:20" ht="26.45">
      <c r="A615" s="44" t="s">
        <v>891</v>
      </c>
      <c r="B615" s="44" t="s">
        <v>4890</v>
      </c>
      <c r="C615" s="45" t="s">
        <v>892</v>
      </c>
      <c r="D615" s="44" t="s">
        <v>1419</v>
      </c>
      <c r="E615" s="44" t="s">
        <v>1481</v>
      </c>
      <c r="F615" s="44"/>
      <c r="G615" s="44" t="s">
        <v>1466</v>
      </c>
      <c r="H615" s="44" t="s">
        <v>4891</v>
      </c>
      <c r="I615" s="46" t="s">
        <v>4892</v>
      </c>
      <c r="J615" s="46" t="s">
        <v>4893</v>
      </c>
      <c r="K615" s="46" t="s">
        <v>1493</v>
      </c>
      <c r="L615" s="46" t="s">
        <v>1474</v>
      </c>
      <c r="M615" s="46" t="s">
        <v>4880</v>
      </c>
      <c r="N615" s="46" t="s">
        <v>1495</v>
      </c>
      <c r="O615" s="44" t="s">
        <v>4894</v>
      </c>
      <c r="P615" s="44" t="s">
        <v>4895</v>
      </c>
      <c r="Q615" s="44" t="s">
        <v>1463</v>
      </c>
      <c r="R615" s="44" t="s">
        <v>1463</v>
      </c>
      <c r="S615" s="43"/>
      <c r="T615" s="51">
        <v>45597</v>
      </c>
    </row>
    <row r="616" spans="1:20">
      <c r="A616" s="47" t="s">
        <v>4896</v>
      </c>
      <c r="B616" s="47" t="s">
        <v>4897</v>
      </c>
      <c r="C616" s="48" t="s">
        <v>4898</v>
      </c>
      <c r="D616" s="47" t="s">
        <v>1419</v>
      </c>
      <c r="E616" s="47" t="s">
        <v>1460</v>
      </c>
      <c r="F616" s="49">
        <v>43221.677448645802</v>
      </c>
      <c r="G616" s="47" t="s">
        <v>1466</v>
      </c>
      <c r="H616" s="47" t="s">
        <v>4899</v>
      </c>
      <c r="I616" s="50" t="s">
        <v>4898</v>
      </c>
      <c r="J616" s="50" t="s">
        <v>4900</v>
      </c>
      <c r="K616" s="50" t="s">
        <v>2184</v>
      </c>
      <c r="L616" s="50" t="s">
        <v>1504</v>
      </c>
      <c r="M616" s="50" t="s">
        <v>4901</v>
      </c>
      <c r="N616" s="50" t="s">
        <v>1516</v>
      </c>
      <c r="O616" s="47" t="s">
        <v>4902</v>
      </c>
      <c r="P616" s="47"/>
      <c r="Q616" s="47" t="s">
        <v>1463</v>
      </c>
      <c r="R616" s="47" t="s">
        <v>1463</v>
      </c>
      <c r="S616" s="43"/>
      <c r="T616" s="49">
        <v>44018</v>
      </c>
    </row>
    <row r="617" spans="1:20" ht="26.45">
      <c r="A617" s="44" t="s">
        <v>893</v>
      </c>
      <c r="B617" s="44" t="s">
        <v>4903</v>
      </c>
      <c r="C617" s="45" t="s">
        <v>894</v>
      </c>
      <c r="D617" s="44" t="s">
        <v>1419</v>
      </c>
      <c r="E617" s="44" t="s">
        <v>1481</v>
      </c>
      <c r="F617" s="44"/>
      <c r="G617" s="44" t="s">
        <v>1466</v>
      </c>
      <c r="H617" s="44" t="s">
        <v>4904</v>
      </c>
      <c r="I617" s="46" t="s">
        <v>4905</v>
      </c>
      <c r="J617" s="46" t="s">
        <v>3817</v>
      </c>
      <c r="K617" s="46" t="s">
        <v>1503</v>
      </c>
      <c r="L617" s="46" t="s">
        <v>1474</v>
      </c>
      <c r="M617" s="46" t="s">
        <v>3818</v>
      </c>
      <c r="N617" s="46" t="s">
        <v>1744</v>
      </c>
      <c r="O617" s="44" t="s">
        <v>4906</v>
      </c>
      <c r="P617" s="44" t="s">
        <v>4907</v>
      </c>
      <c r="Q617" s="44" t="s">
        <v>1463</v>
      </c>
      <c r="R617" s="44" t="s">
        <v>1463</v>
      </c>
      <c r="S617" s="43"/>
      <c r="T617" s="51">
        <v>45468</v>
      </c>
    </row>
    <row r="618" spans="1:20" ht="26.45">
      <c r="A618" s="47" t="s">
        <v>895</v>
      </c>
      <c r="B618" s="47" t="s">
        <v>4908</v>
      </c>
      <c r="C618" s="48" t="s">
        <v>896</v>
      </c>
      <c r="D618" s="47" t="s">
        <v>1419</v>
      </c>
      <c r="E618" s="47" t="s">
        <v>1481</v>
      </c>
      <c r="F618" s="47"/>
      <c r="G618" s="47" t="s">
        <v>1466</v>
      </c>
      <c r="H618" s="47" t="s">
        <v>4909</v>
      </c>
      <c r="I618" s="50" t="s">
        <v>4910</v>
      </c>
      <c r="J618" s="50" t="s">
        <v>4911</v>
      </c>
      <c r="K618" s="50" t="s">
        <v>1742</v>
      </c>
      <c r="L618" s="50" t="s">
        <v>1504</v>
      </c>
      <c r="M618" s="50" t="s">
        <v>4912</v>
      </c>
      <c r="N618" s="50" t="s">
        <v>1744</v>
      </c>
      <c r="O618" s="47" t="s">
        <v>4913</v>
      </c>
      <c r="P618" s="47" t="s">
        <v>4914</v>
      </c>
      <c r="Q618" s="47" t="s">
        <v>1463</v>
      </c>
      <c r="R618" s="47" t="s">
        <v>1463</v>
      </c>
      <c r="S618" s="43"/>
      <c r="T618" s="49">
        <v>45393</v>
      </c>
    </row>
    <row r="619" spans="1:20" ht="26.45">
      <c r="A619" s="44" t="s">
        <v>897</v>
      </c>
      <c r="B619" s="44" t="s">
        <v>4915</v>
      </c>
      <c r="C619" s="45" t="s">
        <v>898</v>
      </c>
      <c r="D619" s="44" t="s">
        <v>1419</v>
      </c>
      <c r="E619" s="44" t="s">
        <v>1481</v>
      </c>
      <c r="F619" s="44"/>
      <c r="G619" s="44" t="s">
        <v>1466</v>
      </c>
      <c r="H619" s="44" t="s">
        <v>4916</v>
      </c>
      <c r="I619" s="46" t="s">
        <v>4917</v>
      </c>
      <c r="J619" s="46" t="s">
        <v>4918</v>
      </c>
      <c r="K619" s="46" t="s">
        <v>1772</v>
      </c>
      <c r="L619" s="46" t="s">
        <v>1504</v>
      </c>
      <c r="M619" s="46" t="s">
        <v>4919</v>
      </c>
      <c r="N619" s="46" t="s">
        <v>1531</v>
      </c>
      <c r="O619" s="44" t="s">
        <v>4920</v>
      </c>
      <c r="P619" s="44" t="s">
        <v>4921</v>
      </c>
      <c r="Q619" s="44" t="s">
        <v>1463</v>
      </c>
      <c r="R619" s="44" t="s">
        <v>1463</v>
      </c>
      <c r="S619" s="43"/>
      <c r="T619" s="51">
        <v>45394</v>
      </c>
    </row>
    <row r="620" spans="1:20" ht="26.45">
      <c r="A620" s="47" t="s">
        <v>899</v>
      </c>
      <c r="B620" s="47" t="s">
        <v>4922</v>
      </c>
      <c r="C620" s="48" t="s">
        <v>900</v>
      </c>
      <c r="D620" s="47" t="s">
        <v>1419</v>
      </c>
      <c r="E620" s="47" t="s">
        <v>1481</v>
      </c>
      <c r="F620" s="47"/>
      <c r="G620" s="47" t="s">
        <v>1466</v>
      </c>
      <c r="H620" s="47" t="s">
        <v>4923</v>
      </c>
      <c r="I620" s="50" t="s">
        <v>4924</v>
      </c>
      <c r="J620" s="50" t="s">
        <v>4925</v>
      </c>
      <c r="K620" s="50" t="s">
        <v>1742</v>
      </c>
      <c r="L620" s="50" t="s">
        <v>1474</v>
      </c>
      <c r="M620" s="50" t="s">
        <v>4926</v>
      </c>
      <c r="N620" s="50" t="s">
        <v>1744</v>
      </c>
      <c r="O620" s="47" t="s">
        <v>4927</v>
      </c>
      <c r="P620" s="47" t="s">
        <v>4928</v>
      </c>
      <c r="Q620" s="47" t="s">
        <v>1463</v>
      </c>
      <c r="R620" s="47" t="s">
        <v>1463</v>
      </c>
      <c r="S620" s="43"/>
      <c r="T620" s="49">
        <v>45468</v>
      </c>
    </row>
    <row r="621" spans="1:20" ht="26.45">
      <c r="A621" s="44" t="s">
        <v>901</v>
      </c>
      <c r="B621" s="44" t="s">
        <v>4929</v>
      </c>
      <c r="C621" s="45" t="s">
        <v>902</v>
      </c>
      <c r="D621" s="44" t="s">
        <v>1419</v>
      </c>
      <c r="E621" s="44" t="s">
        <v>1481</v>
      </c>
      <c r="F621" s="44"/>
      <c r="G621" s="44" t="s">
        <v>1466</v>
      </c>
      <c r="H621" s="44" t="s">
        <v>4930</v>
      </c>
      <c r="I621" s="46" t="s">
        <v>4931</v>
      </c>
      <c r="J621" s="46" t="s">
        <v>4932</v>
      </c>
      <c r="K621" s="46" t="s">
        <v>3769</v>
      </c>
      <c r="L621" s="46" t="s">
        <v>1504</v>
      </c>
      <c r="M621" s="46" t="s">
        <v>4933</v>
      </c>
      <c r="N621" s="46" t="s">
        <v>1516</v>
      </c>
      <c r="O621" s="44" t="s">
        <v>4934</v>
      </c>
      <c r="P621" s="44" t="s">
        <v>4935</v>
      </c>
      <c r="Q621" s="44" t="s">
        <v>1463</v>
      </c>
      <c r="R621" s="44" t="s">
        <v>1463</v>
      </c>
      <c r="S621" s="43"/>
      <c r="T621" s="51">
        <v>45394</v>
      </c>
    </row>
    <row r="622" spans="1:20" ht="26.45">
      <c r="A622" s="47" t="s">
        <v>903</v>
      </c>
      <c r="B622" s="47" t="s">
        <v>4936</v>
      </c>
      <c r="C622" s="48" t="s">
        <v>904</v>
      </c>
      <c r="D622" s="47" t="s">
        <v>1419</v>
      </c>
      <c r="E622" s="47" t="s">
        <v>1481</v>
      </c>
      <c r="F622" s="47"/>
      <c r="G622" s="47" t="s">
        <v>1466</v>
      </c>
      <c r="H622" s="47" t="s">
        <v>4937</v>
      </c>
      <c r="I622" s="50" t="s">
        <v>4938</v>
      </c>
      <c r="J622" s="50" t="s">
        <v>4925</v>
      </c>
      <c r="K622" s="50" t="s">
        <v>1742</v>
      </c>
      <c r="L622" s="50" t="s">
        <v>1474</v>
      </c>
      <c r="M622" s="50" t="s">
        <v>4912</v>
      </c>
      <c r="N622" s="50" t="s">
        <v>1744</v>
      </c>
      <c r="O622" s="47" t="s">
        <v>4939</v>
      </c>
      <c r="P622" s="47" t="s">
        <v>4940</v>
      </c>
      <c r="Q622" s="47" t="s">
        <v>1463</v>
      </c>
      <c r="R622" s="47" t="s">
        <v>1463</v>
      </c>
      <c r="S622" s="43"/>
      <c r="T622" s="49">
        <v>45699</v>
      </c>
    </row>
    <row r="623" spans="1:20" ht="26.45">
      <c r="A623" s="44" t="s">
        <v>4941</v>
      </c>
      <c r="B623" s="44" t="s">
        <v>4942</v>
      </c>
      <c r="C623" s="45" t="s">
        <v>4943</v>
      </c>
      <c r="D623" s="44" t="s">
        <v>1425</v>
      </c>
      <c r="E623" s="44" t="s">
        <v>1481</v>
      </c>
      <c r="F623" s="44"/>
      <c r="G623" s="44" t="s">
        <v>1461</v>
      </c>
      <c r="H623" s="44"/>
      <c r="I623" s="46" t="s">
        <v>4944</v>
      </c>
      <c r="J623" s="46" t="s">
        <v>4945</v>
      </c>
      <c r="K623" s="46" t="s">
        <v>1425</v>
      </c>
      <c r="L623" s="46" t="s">
        <v>1474</v>
      </c>
      <c r="M623" s="46" t="s">
        <v>4946</v>
      </c>
      <c r="N623" s="46" t="s">
        <v>1495</v>
      </c>
      <c r="O623" s="44"/>
      <c r="P623" s="44" t="s">
        <v>4947</v>
      </c>
      <c r="Q623" s="44" t="s">
        <v>1463</v>
      </c>
      <c r="R623" s="44" t="s">
        <v>1463</v>
      </c>
      <c r="S623" s="43"/>
      <c r="T623" s="51">
        <v>45355</v>
      </c>
    </row>
    <row r="624" spans="1:20" ht="26.45">
      <c r="A624" s="47" t="s">
        <v>258</v>
      </c>
      <c r="B624" s="47" t="s">
        <v>4948</v>
      </c>
      <c r="C624" s="48" t="s">
        <v>905</v>
      </c>
      <c r="D624" s="47" t="s">
        <v>1419</v>
      </c>
      <c r="E624" s="47" t="s">
        <v>1481</v>
      </c>
      <c r="F624" s="47"/>
      <c r="G624" s="47" t="s">
        <v>1466</v>
      </c>
      <c r="H624" s="47" t="s">
        <v>4949</v>
      </c>
      <c r="I624" s="50" t="s">
        <v>905</v>
      </c>
      <c r="J624" s="50" t="s">
        <v>4950</v>
      </c>
      <c r="K624" s="50" t="s">
        <v>2097</v>
      </c>
      <c r="L624" s="50" t="s">
        <v>1474</v>
      </c>
      <c r="M624" s="50" t="s">
        <v>4951</v>
      </c>
      <c r="N624" s="50" t="s">
        <v>1516</v>
      </c>
      <c r="O624" s="47" t="s">
        <v>4952</v>
      </c>
      <c r="P624" s="47" t="s">
        <v>4953</v>
      </c>
      <c r="Q624" s="47" t="s">
        <v>1463</v>
      </c>
      <c r="R624" s="47" t="s">
        <v>1463</v>
      </c>
      <c r="S624" s="43"/>
      <c r="T624" s="49">
        <v>45702</v>
      </c>
    </row>
    <row r="625" spans="1:20" ht="26.45">
      <c r="A625" s="44" t="s">
        <v>4954</v>
      </c>
      <c r="B625" s="44" t="s">
        <v>4955</v>
      </c>
      <c r="C625" s="45" t="s">
        <v>4956</v>
      </c>
      <c r="D625" s="44" t="s">
        <v>1414</v>
      </c>
      <c r="E625" s="44" t="s">
        <v>1460</v>
      </c>
      <c r="F625" s="51">
        <v>43222.716325960602</v>
      </c>
      <c r="G625" s="44" t="s">
        <v>1466</v>
      </c>
      <c r="H625" s="44" t="s">
        <v>4957</v>
      </c>
      <c r="I625" s="46" t="s">
        <v>4958</v>
      </c>
      <c r="J625" s="46" t="s">
        <v>4959</v>
      </c>
      <c r="K625" s="46" t="s">
        <v>1484</v>
      </c>
      <c r="L625" s="46" t="s">
        <v>1504</v>
      </c>
      <c r="M625" s="46" t="s">
        <v>4960</v>
      </c>
      <c r="N625" s="46" t="s">
        <v>1531</v>
      </c>
      <c r="O625" s="44" t="s">
        <v>4961</v>
      </c>
      <c r="P625" s="44"/>
      <c r="Q625" s="44" t="s">
        <v>1463</v>
      </c>
      <c r="R625" s="44" t="s">
        <v>1463</v>
      </c>
      <c r="S625" s="43"/>
      <c r="T625" s="51">
        <v>43578</v>
      </c>
    </row>
    <row r="626" spans="1:20" ht="26.45">
      <c r="A626" s="47" t="s">
        <v>4962</v>
      </c>
      <c r="B626" s="47" t="s">
        <v>4963</v>
      </c>
      <c r="C626" s="48" t="s">
        <v>4964</v>
      </c>
      <c r="D626" s="47" t="s">
        <v>1419</v>
      </c>
      <c r="E626" s="47" t="s">
        <v>1481</v>
      </c>
      <c r="F626" s="47"/>
      <c r="G626" s="47" t="s">
        <v>1490</v>
      </c>
      <c r="H626" s="47" t="s">
        <v>4965</v>
      </c>
      <c r="I626" s="50" t="s">
        <v>4964</v>
      </c>
      <c r="J626" s="50" t="s">
        <v>4966</v>
      </c>
      <c r="K626" s="50" t="s">
        <v>1493</v>
      </c>
      <c r="L626" s="50" t="s">
        <v>1504</v>
      </c>
      <c r="M626" s="50" t="s">
        <v>4967</v>
      </c>
      <c r="N626" s="50" t="s">
        <v>1525</v>
      </c>
      <c r="O626" s="47" t="s">
        <v>4968</v>
      </c>
      <c r="P626" s="47"/>
      <c r="Q626" s="47" t="s">
        <v>1463</v>
      </c>
      <c r="R626" s="47" t="s">
        <v>1463</v>
      </c>
      <c r="S626" s="43"/>
      <c r="T626" s="49">
        <v>43944</v>
      </c>
    </row>
    <row r="627" spans="1:20" ht="26.45">
      <c r="A627" s="44" t="s">
        <v>906</v>
      </c>
      <c r="B627" s="44" t="s">
        <v>4969</v>
      </c>
      <c r="C627" s="45" t="s">
        <v>907</v>
      </c>
      <c r="D627" s="44" t="s">
        <v>1414</v>
      </c>
      <c r="E627" s="44" t="s">
        <v>1481</v>
      </c>
      <c r="F627" s="44"/>
      <c r="G627" s="44" t="s">
        <v>1466</v>
      </c>
      <c r="H627" s="44" t="s">
        <v>4970</v>
      </c>
      <c r="I627" s="46" t="s">
        <v>4971</v>
      </c>
      <c r="J627" s="46" t="s">
        <v>4972</v>
      </c>
      <c r="K627" s="46" t="s">
        <v>1484</v>
      </c>
      <c r="L627" s="46" t="s">
        <v>1504</v>
      </c>
      <c r="M627" s="46" t="s">
        <v>4973</v>
      </c>
      <c r="N627" s="46" t="s">
        <v>1495</v>
      </c>
      <c r="O627" s="44" t="s">
        <v>4974</v>
      </c>
      <c r="P627" s="44" t="s">
        <v>4975</v>
      </c>
      <c r="Q627" s="44" t="s">
        <v>1463</v>
      </c>
      <c r="R627" s="44" t="s">
        <v>1463</v>
      </c>
      <c r="S627" s="43"/>
      <c r="T627" s="51">
        <v>45607</v>
      </c>
    </row>
    <row r="628" spans="1:20" ht="26.45">
      <c r="A628" s="47" t="s">
        <v>4976</v>
      </c>
      <c r="B628" s="47" t="s">
        <v>4977</v>
      </c>
      <c r="C628" s="48" t="s">
        <v>4978</v>
      </c>
      <c r="D628" s="47" t="s">
        <v>1419</v>
      </c>
      <c r="E628" s="47" t="s">
        <v>1481</v>
      </c>
      <c r="F628" s="47"/>
      <c r="G628" s="47" t="s">
        <v>1466</v>
      </c>
      <c r="H628" s="47" t="s">
        <v>4979</v>
      </c>
      <c r="I628" s="50" t="s">
        <v>4978</v>
      </c>
      <c r="J628" s="50" t="s">
        <v>4980</v>
      </c>
      <c r="K628" s="50" t="s">
        <v>2184</v>
      </c>
      <c r="L628" s="50" t="s">
        <v>1504</v>
      </c>
      <c r="M628" s="50" t="s">
        <v>4981</v>
      </c>
      <c r="N628" s="50" t="s">
        <v>1516</v>
      </c>
      <c r="O628" s="47" t="s">
        <v>4982</v>
      </c>
      <c r="P628" s="47" t="s">
        <v>4983</v>
      </c>
      <c r="Q628" s="47" t="s">
        <v>1463</v>
      </c>
      <c r="R628" s="47" t="s">
        <v>1463</v>
      </c>
      <c r="S628" s="43"/>
      <c r="T628" s="49">
        <v>44945</v>
      </c>
    </row>
    <row r="629" spans="1:20" ht="26.45">
      <c r="A629" s="44" t="s">
        <v>908</v>
      </c>
      <c r="B629" s="44" t="s">
        <v>4984</v>
      </c>
      <c r="C629" s="45" t="s">
        <v>909</v>
      </c>
      <c r="D629" s="44" t="s">
        <v>1419</v>
      </c>
      <c r="E629" s="44" t="s">
        <v>1481</v>
      </c>
      <c r="F629" s="44"/>
      <c r="G629" s="44" t="s">
        <v>1466</v>
      </c>
      <c r="H629" s="44" t="s">
        <v>4985</v>
      </c>
      <c r="I629" s="46" t="s">
        <v>4986</v>
      </c>
      <c r="J629" s="46" t="s">
        <v>4987</v>
      </c>
      <c r="K629" s="46" t="s">
        <v>1493</v>
      </c>
      <c r="L629" s="46" t="s">
        <v>1474</v>
      </c>
      <c r="M629" s="46" t="s">
        <v>4988</v>
      </c>
      <c r="N629" s="46" t="s">
        <v>1641</v>
      </c>
      <c r="O629" s="44" t="s">
        <v>4989</v>
      </c>
      <c r="P629" s="44" t="s">
        <v>4990</v>
      </c>
      <c r="Q629" s="44" t="s">
        <v>1463</v>
      </c>
      <c r="R629" s="44" t="s">
        <v>1463</v>
      </c>
      <c r="S629" s="43"/>
      <c r="T629" s="51">
        <v>45609</v>
      </c>
    </row>
    <row r="630" spans="1:20">
      <c r="A630" s="47" t="s">
        <v>4991</v>
      </c>
      <c r="B630" s="47" t="s">
        <v>4992</v>
      </c>
      <c r="C630" s="48" t="s">
        <v>4993</v>
      </c>
      <c r="D630" s="47" t="s">
        <v>1419</v>
      </c>
      <c r="E630" s="47" t="s">
        <v>1460</v>
      </c>
      <c r="F630" s="49">
        <v>42451.927135104197</v>
      </c>
      <c r="G630" s="47" t="s">
        <v>1466</v>
      </c>
      <c r="H630" s="47" t="s">
        <v>4994</v>
      </c>
      <c r="I630" s="50"/>
      <c r="J630" s="50"/>
      <c r="K630" s="50"/>
      <c r="L630" s="50"/>
      <c r="M630" s="50"/>
      <c r="N630" s="50"/>
      <c r="O630" s="47" t="s">
        <v>4995</v>
      </c>
      <c r="P630" s="47"/>
      <c r="Q630" s="47" t="s">
        <v>1463</v>
      </c>
      <c r="R630" s="47" t="s">
        <v>1463</v>
      </c>
      <c r="S630" s="43"/>
      <c r="T630" s="47"/>
    </row>
    <row r="631" spans="1:20" ht="26.45">
      <c r="A631" s="44" t="s">
        <v>4996</v>
      </c>
      <c r="B631" s="44" t="s">
        <v>4997</v>
      </c>
      <c r="C631" s="45" t="s">
        <v>4998</v>
      </c>
      <c r="D631" s="44" t="s">
        <v>1419</v>
      </c>
      <c r="E631" s="44" t="s">
        <v>1460</v>
      </c>
      <c r="F631" s="51">
        <v>41457.382442048598</v>
      </c>
      <c r="G631" s="44" t="s">
        <v>1466</v>
      </c>
      <c r="H631" s="44" t="s">
        <v>4999</v>
      </c>
      <c r="I631" s="46" t="s">
        <v>4998</v>
      </c>
      <c r="J631" s="46" t="s">
        <v>5000</v>
      </c>
      <c r="K631" s="46"/>
      <c r="L631" s="46" t="s">
        <v>1504</v>
      </c>
      <c r="M631" s="46"/>
      <c r="N631" s="46" t="s">
        <v>1476</v>
      </c>
      <c r="O631" s="44"/>
      <c r="P631" s="44"/>
      <c r="Q631" s="44" t="s">
        <v>1463</v>
      </c>
      <c r="R631" s="44" t="s">
        <v>1463</v>
      </c>
      <c r="S631" s="43"/>
      <c r="T631" s="44"/>
    </row>
    <row r="632" spans="1:20" ht="26.45">
      <c r="A632" s="47" t="s">
        <v>5001</v>
      </c>
      <c r="B632" s="47" t="s">
        <v>5002</v>
      </c>
      <c r="C632" s="48" t="s">
        <v>5003</v>
      </c>
      <c r="D632" s="47" t="s">
        <v>1419</v>
      </c>
      <c r="E632" s="47" t="s">
        <v>1481</v>
      </c>
      <c r="F632" s="47"/>
      <c r="G632" s="47" t="s">
        <v>3395</v>
      </c>
      <c r="H632" s="47" t="s">
        <v>5004</v>
      </c>
      <c r="I632" s="50" t="s">
        <v>5005</v>
      </c>
      <c r="J632" s="50" t="s">
        <v>5006</v>
      </c>
      <c r="K632" s="50" t="s">
        <v>1549</v>
      </c>
      <c r="L632" s="50" t="s">
        <v>1504</v>
      </c>
      <c r="M632" s="50" t="s">
        <v>5007</v>
      </c>
      <c r="N632" s="50" t="s">
        <v>1729</v>
      </c>
      <c r="O632" s="47" t="s">
        <v>5008</v>
      </c>
      <c r="P632" s="47" t="s">
        <v>5009</v>
      </c>
      <c r="Q632" s="47" t="s">
        <v>1463</v>
      </c>
      <c r="R632" s="47" t="s">
        <v>1463</v>
      </c>
      <c r="S632" s="43"/>
      <c r="T632" s="49">
        <v>45370</v>
      </c>
    </row>
    <row r="633" spans="1:20" ht="26.45">
      <c r="A633" s="44" t="s">
        <v>5010</v>
      </c>
      <c r="B633" s="44" t="s">
        <v>5011</v>
      </c>
      <c r="C633" s="45" t="s">
        <v>5012</v>
      </c>
      <c r="D633" s="44" t="s">
        <v>1410</v>
      </c>
      <c r="E633" s="44" t="s">
        <v>1460</v>
      </c>
      <c r="F633" s="51">
        <v>42445.725267245398</v>
      </c>
      <c r="G633" s="44" t="s">
        <v>1466</v>
      </c>
      <c r="H633" s="44" t="s">
        <v>5013</v>
      </c>
      <c r="I633" s="46" t="s">
        <v>5012</v>
      </c>
      <c r="J633" s="46"/>
      <c r="K633" s="46"/>
      <c r="L633" s="46"/>
      <c r="M633" s="46"/>
      <c r="N633" s="46"/>
      <c r="O633" s="44" t="s">
        <v>5014</v>
      </c>
      <c r="P633" s="44"/>
      <c r="Q633" s="44" t="s">
        <v>1463</v>
      </c>
      <c r="R633" s="44" t="s">
        <v>1463</v>
      </c>
      <c r="S633" s="43"/>
      <c r="T633" s="44"/>
    </row>
    <row r="634" spans="1:20" ht="26.45">
      <c r="A634" s="47" t="s">
        <v>259</v>
      </c>
      <c r="B634" s="47" t="s">
        <v>5015</v>
      </c>
      <c r="C634" s="48" t="s">
        <v>910</v>
      </c>
      <c r="D634" s="47" t="s">
        <v>1419</v>
      </c>
      <c r="E634" s="47" t="s">
        <v>1481</v>
      </c>
      <c r="F634" s="47"/>
      <c r="G634" s="47" t="s">
        <v>1687</v>
      </c>
      <c r="H634" s="47" t="s">
        <v>5016</v>
      </c>
      <c r="I634" s="50" t="s">
        <v>5017</v>
      </c>
      <c r="J634" s="50" t="s">
        <v>5018</v>
      </c>
      <c r="K634" s="50" t="s">
        <v>1493</v>
      </c>
      <c r="L634" s="50" t="s">
        <v>1474</v>
      </c>
      <c r="M634" s="50" t="s">
        <v>5019</v>
      </c>
      <c r="N634" s="50" t="s">
        <v>1629</v>
      </c>
      <c r="O634" s="47" t="s">
        <v>5020</v>
      </c>
      <c r="P634" s="47" t="s">
        <v>5021</v>
      </c>
      <c r="Q634" s="47" t="s">
        <v>1695</v>
      </c>
      <c r="R634" s="47" t="s">
        <v>1463</v>
      </c>
      <c r="S634" s="43"/>
      <c r="T634" s="49">
        <v>45323</v>
      </c>
    </row>
    <row r="635" spans="1:20" ht="26.45">
      <c r="A635" s="44" t="s">
        <v>260</v>
      </c>
      <c r="B635" s="44" t="s">
        <v>5022</v>
      </c>
      <c r="C635" s="45" t="s">
        <v>911</v>
      </c>
      <c r="D635" s="44" t="s">
        <v>1410</v>
      </c>
      <c r="E635" s="44" t="s">
        <v>1481</v>
      </c>
      <c r="F635" s="44"/>
      <c r="G635" s="44" t="s">
        <v>1687</v>
      </c>
      <c r="H635" s="44" t="s">
        <v>5023</v>
      </c>
      <c r="I635" s="46" t="s">
        <v>5024</v>
      </c>
      <c r="J635" s="46" t="s">
        <v>5025</v>
      </c>
      <c r="K635" s="46" t="s">
        <v>1932</v>
      </c>
      <c r="L635" s="46" t="s">
        <v>1504</v>
      </c>
      <c r="M635" s="46" t="s">
        <v>5026</v>
      </c>
      <c r="N635" s="46" t="s">
        <v>1744</v>
      </c>
      <c r="O635" s="44" t="s">
        <v>5027</v>
      </c>
      <c r="P635" s="44" t="s">
        <v>5028</v>
      </c>
      <c r="Q635" s="44" t="s">
        <v>1695</v>
      </c>
      <c r="R635" s="44" t="s">
        <v>1463</v>
      </c>
      <c r="S635" s="43"/>
      <c r="T635" s="51">
        <v>45544</v>
      </c>
    </row>
    <row r="636" spans="1:20" ht="26.45">
      <c r="A636" s="47" t="s">
        <v>912</v>
      </c>
      <c r="B636" s="47" t="s">
        <v>5029</v>
      </c>
      <c r="C636" s="48" t="s">
        <v>913</v>
      </c>
      <c r="D636" s="47" t="s">
        <v>1419</v>
      </c>
      <c r="E636" s="47" t="s">
        <v>1481</v>
      </c>
      <c r="F636" s="47"/>
      <c r="G636" s="47" t="s">
        <v>1466</v>
      </c>
      <c r="H636" s="47" t="s">
        <v>5030</v>
      </c>
      <c r="I636" s="50" t="s">
        <v>5031</v>
      </c>
      <c r="J636" s="50" t="s">
        <v>5032</v>
      </c>
      <c r="K636" s="50" t="s">
        <v>2184</v>
      </c>
      <c r="L636" s="50" t="s">
        <v>1504</v>
      </c>
      <c r="M636" s="50" t="s">
        <v>5033</v>
      </c>
      <c r="N636" s="50" t="s">
        <v>1476</v>
      </c>
      <c r="O636" s="47" t="s">
        <v>5034</v>
      </c>
      <c r="P636" s="47" t="s">
        <v>5035</v>
      </c>
      <c r="Q636" s="47" t="s">
        <v>1463</v>
      </c>
      <c r="R636" s="47" t="s">
        <v>1463</v>
      </c>
      <c r="S636" s="43"/>
      <c r="T636" s="49">
        <v>45428</v>
      </c>
    </row>
    <row r="637" spans="1:20" ht="26.45">
      <c r="A637" s="44" t="s">
        <v>914</v>
      </c>
      <c r="B637" s="44" t="s">
        <v>5036</v>
      </c>
      <c r="C637" s="45" t="s">
        <v>915</v>
      </c>
      <c r="D637" s="44" t="s">
        <v>1419</v>
      </c>
      <c r="E637" s="44" t="s">
        <v>1481</v>
      </c>
      <c r="F637" s="44"/>
      <c r="G637" s="44" t="s">
        <v>1466</v>
      </c>
      <c r="H637" s="44" t="s">
        <v>5037</v>
      </c>
      <c r="I637" s="46" t="s">
        <v>915</v>
      </c>
      <c r="J637" s="46" t="s">
        <v>5038</v>
      </c>
      <c r="K637" s="46" t="s">
        <v>1549</v>
      </c>
      <c r="L637" s="46" t="s">
        <v>1504</v>
      </c>
      <c r="M637" s="46" t="s">
        <v>5039</v>
      </c>
      <c r="N637" s="46" t="s">
        <v>1729</v>
      </c>
      <c r="O637" s="44" t="s">
        <v>5040</v>
      </c>
      <c r="P637" s="44" t="s">
        <v>5041</v>
      </c>
      <c r="Q637" s="44" t="s">
        <v>1463</v>
      </c>
      <c r="R637" s="44" t="s">
        <v>1463</v>
      </c>
      <c r="S637" s="43"/>
      <c r="T637" s="51">
        <v>45363</v>
      </c>
    </row>
    <row r="638" spans="1:20">
      <c r="A638" s="47" t="s">
        <v>5042</v>
      </c>
      <c r="B638" s="47" t="s">
        <v>5043</v>
      </c>
      <c r="C638" s="48" t="s">
        <v>5044</v>
      </c>
      <c r="D638" s="47" t="s">
        <v>1419</v>
      </c>
      <c r="E638" s="47" t="s">
        <v>1481</v>
      </c>
      <c r="F638" s="47"/>
      <c r="G638" s="47" t="s">
        <v>1461</v>
      </c>
      <c r="H638" s="47"/>
      <c r="I638" s="50" t="s">
        <v>5044</v>
      </c>
      <c r="J638" s="50"/>
      <c r="K638" s="50"/>
      <c r="L638" s="50"/>
      <c r="M638" s="50"/>
      <c r="N638" s="50"/>
      <c r="O638" s="47" t="s">
        <v>5045</v>
      </c>
      <c r="P638" s="47"/>
      <c r="Q638" s="47" t="s">
        <v>1463</v>
      </c>
      <c r="R638" s="47" t="s">
        <v>1463</v>
      </c>
      <c r="S638" s="43"/>
      <c r="T638" s="47"/>
    </row>
    <row r="639" spans="1:20">
      <c r="A639" s="44" t="s">
        <v>5046</v>
      </c>
      <c r="B639" s="44" t="s">
        <v>5047</v>
      </c>
      <c r="C639" s="45" t="s">
        <v>5048</v>
      </c>
      <c r="D639" s="44" t="s">
        <v>1434</v>
      </c>
      <c r="E639" s="44" t="s">
        <v>1481</v>
      </c>
      <c r="F639" s="44"/>
      <c r="G639" s="44" t="s">
        <v>1663</v>
      </c>
      <c r="H639" s="44" t="s">
        <v>5049</v>
      </c>
      <c r="I639" s="46"/>
      <c r="J639" s="46"/>
      <c r="K639" s="46"/>
      <c r="L639" s="46"/>
      <c r="M639" s="46"/>
      <c r="N639" s="46"/>
      <c r="O639" s="44"/>
      <c r="P639" s="44"/>
      <c r="Q639" s="44" t="s">
        <v>1463</v>
      </c>
      <c r="R639" s="44" t="s">
        <v>1463</v>
      </c>
      <c r="S639" s="43"/>
      <c r="T639" s="44"/>
    </row>
    <row r="640" spans="1:20" ht="26.45">
      <c r="A640" s="47" t="s">
        <v>261</v>
      </c>
      <c r="B640" s="47" t="s">
        <v>5050</v>
      </c>
      <c r="C640" s="48" t="s">
        <v>916</v>
      </c>
      <c r="D640" s="47" t="s">
        <v>1432</v>
      </c>
      <c r="E640" s="47" t="s">
        <v>1481</v>
      </c>
      <c r="F640" s="47"/>
      <c r="G640" s="47" t="s">
        <v>1687</v>
      </c>
      <c r="H640" s="47" t="s">
        <v>5051</v>
      </c>
      <c r="I640" s="50" t="s">
        <v>5052</v>
      </c>
      <c r="J640" s="50" t="s">
        <v>5053</v>
      </c>
      <c r="K640" s="50" t="s">
        <v>5054</v>
      </c>
      <c r="L640" s="50" t="s">
        <v>1504</v>
      </c>
      <c r="M640" s="50" t="s">
        <v>5055</v>
      </c>
      <c r="N640" s="50" t="s">
        <v>1531</v>
      </c>
      <c r="O640" s="47" t="s">
        <v>5056</v>
      </c>
      <c r="P640" s="47" t="s">
        <v>5057</v>
      </c>
      <c r="Q640" s="47" t="s">
        <v>1695</v>
      </c>
      <c r="R640" s="47" t="s">
        <v>1463</v>
      </c>
      <c r="S640" s="43"/>
      <c r="T640" s="49">
        <v>45665</v>
      </c>
    </row>
    <row r="641" spans="1:20" ht="26.45">
      <c r="A641" s="44" t="s">
        <v>5058</v>
      </c>
      <c r="B641" s="44" t="s">
        <v>5059</v>
      </c>
      <c r="C641" s="45" t="s">
        <v>5060</v>
      </c>
      <c r="D641" s="44" t="s">
        <v>1424</v>
      </c>
      <c r="E641" s="44" t="s">
        <v>1481</v>
      </c>
      <c r="F641" s="44"/>
      <c r="G641" s="44" t="s">
        <v>1490</v>
      </c>
      <c r="H641" s="44"/>
      <c r="I641" s="46" t="s">
        <v>5060</v>
      </c>
      <c r="J641" s="46" t="s">
        <v>5061</v>
      </c>
      <c r="K641" s="46" t="s">
        <v>1523</v>
      </c>
      <c r="L641" s="46" t="s">
        <v>1504</v>
      </c>
      <c r="M641" s="46" t="s">
        <v>5062</v>
      </c>
      <c r="N641" s="46"/>
      <c r="O641" s="44"/>
      <c r="P641" s="44"/>
      <c r="Q641" s="44" t="s">
        <v>1463</v>
      </c>
      <c r="R641" s="44" t="s">
        <v>1463</v>
      </c>
      <c r="S641" s="43"/>
      <c r="T641" s="44"/>
    </row>
    <row r="642" spans="1:20">
      <c r="A642" s="47" t="s">
        <v>5063</v>
      </c>
      <c r="B642" s="47"/>
      <c r="C642" s="48" t="s">
        <v>5064</v>
      </c>
      <c r="D642" s="47" t="s">
        <v>1420</v>
      </c>
      <c r="E642" s="47" t="s">
        <v>1460</v>
      </c>
      <c r="F642" s="49">
        <v>41474.645810682901</v>
      </c>
      <c r="G642" s="47" t="s">
        <v>1466</v>
      </c>
      <c r="H642" s="47"/>
      <c r="I642" s="50"/>
      <c r="J642" s="50"/>
      <c r="K642" s="50"/>
      <c r="L642" s="50"/>
      <c r="M642" s="50"/>
      <c r="N642" s="50"/>
      <c r="O642" s="47"/>
      <c r="P642" s="47"/>
      <c r="Q642" s="47" t="s">
        <v>1463</v>
      </c>
      <c r="R642" s="47" t="s">
        <v>1463</v>
      </c>
      <c r="S642" s="43"/>
      <c r="T642" s="47"/>
    </row>
    <row r="643" spans="1:20" ht="26.45">
      <c r="A643" s="44" t="s">
        <v>262</v>
      </c>
      <c r="B643" s="44" t="s">
        <v>5065</v>
      </c>
      <c r="C643" s="45" t="s">
        <v>917</v>
      </c>
      <c r="D643" s="44" t="s">
        <v>1425</v>
      </c>
      <c r="E643" s="44" t="s">
        <v>1481</v>
      </c>
      <c r="F643" s="44"/>
      <c r="G643" s="44" t="s">
        <v>1466</v>
      </c>
      <c r="H643" s="44" t="s">
        <v>5066</v>
      </c>
      <c r="I643" s="46" t="s">
        <v>917</v>
      </c>
      <c r="J643" s="46" t="s">
        <v>5067</v>
      </c>
      <c r="K643" s="46" t="s">
        <v>1425</v>
      </c>
      <c r="L643" s="46" t="s">
        <v>1474</v>
      </c>
      <c r="M643" s="46" t="s">
        <v>5068</v>
      </c>
      <c r="N643" s="46" t="s">
        <v>1495</v>
      </c>
      <c r="O643" s="44" t="s">
        <v>5069</v>
      </c>
      <c r="P643" s="44" t="s">
        <v>5070</v>
      </c>
      <c r="Q643" s="44" t="s">
        <v>1463</v>
      </c>
      <c r="R643" s="44" t="s">
        <v>1463</v>
      </c>
      <c r="S643" s="43"/>
      <c r="T643" s="51">
        <v>45635</v>
      </c>
    </row>
    <row r="644" spans="1:20">
      <c r="A644" s="47" t="s">
        <v>5071</v>
      </c>
      <c r="B644" s="47"/>
      <c r="C644" s="48" t="s">
        <v>5072</v>
      </c>
      <c r="D644" s="47" t="s">
        <v>1419</v>
      </c>
      <c r="E644" s="47" t="s">
        <v>1460</v>
      </c>
      <c r="F644" s="49">
        <v>42452.6885871181</v>
      </c>
      <c r="G644" s="47" t="s">
        <v>1466</v>
      </c>
      <c r="H644" s="47"/>
      <c r="I644" s="50"/>
      <c r="J644" s="50"/>
      <c r="K644" s="50"/>
      <c r="L644" s="50"/>
      <c r="M644" s="50"/>
      <c r="N644" s="50"/>
      <c r="O644" s="47"/>
      <c r="P644" s="47"/>
      <c r="Q644" s="47" t="s">
        <v>1463</v>
      </c>
      <c r="R644" s="47" t="s">
        <v>1463</v>
      </c>
      <c r="S644" s="43"/>
      <c r="T644" s="47"/>
    </row>
    <row r="645" spans="1:20">
      <c r="A645" s="44" t="s">
        <v>5073</v>
      </c>
      <c r="B645" s="44" t="s">
        <v>5074</v>
      </c>
      <c r="C645" s="45" t="s">
        <v>5075</v>
      </c>
      <c r="D645" s="44" t="s">
        <v>1419</v>
      </c>
      <c r="E645" s="44" t="s">
        <v>1481</v>
      </c>
      <c r="F645" s="44"/>
      <c r="G645" s="44" t="s">
        <v>1466</v>
      </c>
      <c r="H645" s="44" t="s">
        <v>5076</v>
      </c>
      <c r="I645" s="46" t="s">
        <v>5075</v>
      </c>
      <c r="J645" s="46"/>
      <c r="K645" s="46"/>
      <c r="L645" s="46"/>
      <c r="M645" s="46"/>
      <c r="N645" s="46"/>
      <c r="O645" s="44"/>
      <c r="P645" s="44"/>
      <c r="Q645" s="44" t="s">
        <v>1463</v>
      </c>
      <c r="R645" s="44" t="s">
        <v>1463</v>
      </c>
      <c r="S645" s="43"/>
      <c r="T645" s="44"/>
    </row>
    <row r="646" spans="1:20" ht="26.45">
      <c r="A646" s="47" t="s">
        <v>5077</v>
      </c>
      <c r="B646" s="47" t="s">
        <v>5078</v>
      </c>
      <c r="C646" s="48" t="s">
        <v>5079</v>
      </c>
      <c r="D646" s="47" t="s">
        <v>1416</v>
      </c>
      <c r="E646" s="47" t="s">
        <v>1481</v>
      </c>
      <c r="F646" s="47"/>
      <c r="G646" s="47" t="s">
        <v>1618</v>
      </c>
      <c r="H646" s="47" t="s">
        <v>5080</v>
      </c>
      <c r="I646" s="50" t="s">
        <v>5079</v>
      </c>
      <c r="J646" s="50" t="s">
        <v>5081</v>
      </c>
      <c r="K646" s="50" t="s">
        <v>4301</v>
      </c>
      <c r="L646" s="50" t="s">
        <v>1474</v>
      </c>
      <c r="M646" s="50" t="s">
        <v>5082</v>
      </c>
      <c r="N646" s="50" t="s">
        <v>1641</v>
      </c>
      <c r="O646" s="47" t="s">
        <v>5083</v>
      </c>
      <c r="P646" s="47" t="s">
        <v>5084</v>
      </c>
      <c r="Q646" s="47" t="s">
        <v>1463</v>
      </c>
      <c r="R646" s="47" t="s">
        <v>1463</v>
      </c>
      <c r="S646" s="43"/>
      <c r="T646" s="49">
        <v>45322</v>
      </c>
    </row>
    <row r="647" spans="1:20" ht="26.45">
      <c r="A647" s="44" t="s">
        <v>263</v>
      </c>
      <c r="B647" s="44" t="s">
        <v>5085</v>
      </c>
      <c r="C647" s="45" t="s">
        <v>918</v>
      </c>
      <c r="D647" s="44" t="s">
        <v>1419</v>
      </c>
      <c r="E647" s="44" t="s">
        <v>1481</v>
      </c>
      <c r="F647" s="44"/>
      <c r="G647" s="44" t="s">
        <v>1466</v>
      </c>
      <c r="H647" s="44" t="s">
        <v>5086</v>
      </c>
      <c r="I647" s="46" t="s">
        <v>5087</v>
      </c>
      <c r="J647" s="46" t="s">
        <v>5088</v>
      </c>
      <c r="K647" s="46" t="s">
        <v>1493</v>
      </c>
      <c r="L647" s="46" t="s">
        <v>1504</v>
      </c>
      <c r="M647" s="46" t="s">
        <v>5089</v>
      </c>
      <c r="N647" s="46" t="s">
        <v>1495</v>
      </c>
      <c r="O647" s="44" t="s">
        <v>5090</v>
      </c>
      <c r="P647" s="44" t="s">
        <v>5091</v>
      </c>
      <c r="Q647" s="44" t="s">
        <v>1463</v>
      </c>
      <c r="R647" s="44" t="s">
        <v>1463</v>
      </c>
      <c r="S647" s="43"/>
      <c r="T647" s="51">
        <v>45526</v>
      </c>
    </row>
    <row r="648" spans="1:20" ht="26.45">
      <c r="A648" s="47" t="s">
        <v>264</v>
      </c>
      <c r="B648" s="47" t="s">
        <v>5092</v>
      </c>
      <c r="C648" s="48" t="s">
        <v>919</v>
      </c>
      <c r="D648" s="47" t="s">
        <v>1436</v>
      </c>
      <c r="E648" s="47" t="s">
        <v>1481</v>
      </c>
      <c r="F648" s="49">
        <v>42814.877058993101</v>
      </c>
      <c r="G648" s="47" t="s">
        <v>1466</v>
      </c>
      <c r="H648" s="47" t="s">
        <v>5093</v>
      </c>
      <c r="I648" s="50" t="s">
        <v>5087</v>
      </c>
      <c r="J648" s="50" t="s">
        <v>5094</v>
      </c>
      <c r="K648" s="50" t="s">
        <v>5095</v>
      </c>
      <c r="L648" s="50" t="s">
        <v>1504</v>
      </c>
      <c r="M648" s="50" t="s">
        <v>5096</v>
      </c>
      <c r="N648" s="50" t="s">
        <v>1629</v>
      </c>
      <c r="O648" s="47" t="s">
        <v>5097</v>
      </c>
      <c r="P648" s="47" t="s">
        <v>5098</v>
      </c>
      <c r="Q648" s="47" t="s">
        <v>1463</v>
      </c>
      <c r="R648" s="47" t="s">
        <v>1463</v>
      </c>
      <c r="S648" s="43"/>
      <c r="T648" s="49">
        <v>45526</v>
      </c>
    </row>
    <row r="649" spans="1:20" ht="26.45">
      <c r="A649" s="44" t="s">
        <v>265</v>
      </c>
      <c r="B649" s="44" t="s">
        <v>5099</v>
      </c>
      <c r="C649" s="45" t="s">
        <v>920</v>
      </c>
      <c r="D649" s="44" t="s">
        <v>1419</v>
      </c>
      <c r="E649" s="44" t="s">
        <v>1481</v>
      </c>
      <c r="F649" s="44"/>
      <c r="G649" s="44" t="s">
        <v>1466</v>
      </c>
      <c r="H649" s="44" t="s">
        <v>5100</v>
      </c>
      <c r="I649" s="46" t="s">
        <v>5087</v>
      </c>
      <c r="J649" s="46" t="s">
        <v>5101</v>
      </c>
      <c r="K649" s="46" t="s">
        <v>5102</v>
      </c>
      <c r="L649" s="46" t="s">
        <v>1504</v>
      </c>
      <c r="M649" s="46" t="s">
        <v>5103</v>
      </c>
      <c r="N649" s="46" t="s">
        <v>1729</v>
      </c>
      <c r="O649" s="44" t="s">
        <v>5104</v>
      </c>
      <c r="P649" s="44" t="s">
        <v>5105</v>
      </c>
      <c r="Q649" s="44" t="s">
        <v>1463</v>
      </c>
      <c r="R649" s="44" t="s">
        <v>1463</v>
      </c>
      <c r="S649" s="43"/>
      <c r="T649" s="51">
        <v>45531</v>
      </c>
    </row>
    <row r="650" spans="1:20" ht="26.45">
      <c r="A650" s="47" t="s">
        <v>921</v>
      </c>
      <c r="B650" s="47" t="s">
        <v>5106</v>
      </c>
      <c r="C650" s="48" t="s">
        <v>922</v>
      </c>
      <c r="D650" s="47" t="s">
        <v>1419</v>
      </c>
      <c r="E650" s="47" t="s">
        <v>1481</v>
      </c>
      <c r="F650" s="47"/>
      <c r="G650" s="47" t="s">
        <v>1466</v>
      </c>
      <c r="H650" s="47" t="s">
        <v>5107</v>
      </c>
      <c r="I650" s="50" t="s">
        <v>5087</v>
      </c>
      <c r="J650" s="50" t="s">
        <v>5108</v>
      </c>
      <c r="K650" s="50" t="s">
        <v>1975</v>
      </c>
      <c r="L650" s="50" t="s">
        <v>1504</v>
      </c>
      <c r="M650" s="50" t="s">
        <v>5109</v>
      </c>
      <c r="N650" s="50" t="s">
        <v>1516</v>
      </c>
      <c r="O650" s="47" t="s">
        <v>5110</v>
      </c>
      <c r="P650" s="47" t="s">
        <v>5111</v>
      </c>
      <c r="Q650" s="47" t="s">
        <v>1463</v>
      </c>
      <c r="R650" s="47" t="s">
        <v>1463</v>
      </c>
      <c r="S650" s="43"/>
      <c r="T650" s="49">
        <v>45531</v>
      </c>
    </row>
    <row r="651" spans="1:20" ht="26.45">
      <c r="A651" s="44" t="s">
        <v>266</v>
      </c>
      <c r="B651" s="44" t="s">
        <v>5112</v>
      </c>
      <c r="C651" s="45" t="s">
        <v>923</v>
      </c>
      <c r="D651" s="44" t="s">
        <v>1419</v>
      </c>
      <c r="E651" s="44" t="s">
        <v>1481</v>
      </c>
      <c r="F651" s="44"/>
      <c r="G651" s="44" t="s">
        <v>1466</v>
      </c>
      <c r="H651" s="44" t="s">
        <v>5113</v>
      </c>
      <c r="I651" s="46" t="s">
        <v>923</v>
      </c>
      <c r="J651" s="46" t="s">
        <v>5114</v>
      </c>
      <c r="K651" s="46" t="s">
        <v>1888</v>
      </c>
      <c r="L651" s="46" t="s">
        <v>1504</v>
      </c>
      <c r="M651" s="46" t="s">
        <v>5115</v>
      </c>
      <c r="N651" s="46" t="s">
        <v>1744</v>
      </c>
      <c r="O651" s="44" t="s">
        <v>5116</v>
      </c>
      <c r="P651" s="44" t="s">
        <v>5117</v>
      </c>
      <c r="Q651" s="44" t="s">
        <v>1463</v>
      </c>
      <c r="R651" s="44" t="s">
        <v>1463</v>
      </c>
      <c r="S651" s="43"/>
      <c r="T651" s="51">
        <v>45527</v>
      </c>
    </row>
    <row r="652" spans="1:20" ht="26.45">
      <c r="A652" s="47" t="s">
        <v>267</v>
      </c>
      <c r="B652" s="47" t="s">
        <v>5118</v>
      </c>
      <c r="C652" s="48" t="s">
        <v>924</v>
      </c>
      <c r="D652" s="47" t="s">
        <v>1419</v>
      </c>
      <c r="E652" s="47" t="s">
        <v>1481</v>
      </c>
      <c r="F652" s="47"/>
      <c r="G652" s="47" t="s">
        <v>1466</v>
      </c>
      <c r="H652" s="47" t="s">
        <v>5119</v>
      </c>
      <c r="I652" s="50" t="s">
        <v>5087</v>
      </c>
      <c r="J652" s="50" t="s">
        <v>5120</v>
      </c>
      <c r="K652" s="50" t="s">
        <v>5121</v>
      </c>
      <c r="L652" s="50" t="s">
        <v>1504</v>
      </c>
      <c r="M652" s="50" t="s">
        <v>5122</v>
      </c>
      <c r="N652" s="50" t="s">
        <v>1476</v>
      </c>
      <c r="O652" s="47" t="s">
        <v>5123</v>
      </c>
      <c r="P652" s="47" t="s">
        <v>5124</v>
      </c>
      <c r="Q652" s="47" t="s">
        <v>1463</v>
      </c>
      <c r="R652" s="47" t="s">
        <v>1463</v>
      </c>
      <c r="S652" s="43"/>
      <c r="T652" s="49">
        <v>45526</v>
      </c>
    </row>
    <row r="653" spans="1:20" ht="26.45">
      <c r="A653" s="44" t="s">
        <v>268</v>
      </c>
      <c r="B653" s="44" t="s">
        <v>5125</v>
      </c>
      <c r="C653" s="45" t="s">
        <v>925</v>
      </c>
      <c r="D653" s="44" t="s">
        <v>1419</v>
      </c>
      <c r="E653" s="44" t="s">
        <v>1481</v>
      </c>
      <c r="F653" s="44"/>
      <c r="G653" s="44" t="s">
        <v>1466</v>
      </c>
      <c r="H653" s="44" t="s">
        <v>5126</v>
      </c>
      <c r="I653" s="46" t="s">
        <v>925</v>
      </c>
      <c r="J653" s="46" t="s">
        <v>5127</v>
      </c>
      <c r="K653" s="46" t="s">
        <v>1503</v>
      </c>
      <c r="L653" s="46" t="s">
        <v>1504</v>
      </c>
      <c r="M653" s="46" t="s">
        <v>5128</v>
      </c>
      <c r="N653" s="46" t="s">
        <v>1744</v>
      </c>
      <c r="O653" s="44" t="s">
        <v>5129</v>
      </c>
      <c r="P653" s="44" t="s">
        <v>5130</v>
      </c>
      <c r="Q653" s="44" t="s">
        <v>1463</v>
      </c>
      <c r="R653" s="44" t="s">
        <v>1463</v>
      </c>
      <c r="S653" s="43"/>
      <c r="T653" s="51">
        <v>45527</v>
      </c>
    </row>
    <row r="654" spans="1:20" ht="26.45">
      <c r="A654" s="47" t="s">
        <v>926</v>
      </c>
      <c r="B654" s="47" t="s">
        <v>5131</v>
      </c>
      <c r="C654" s="48" t="s">
        <v>927</v>
      </c>
      <c r="D654" s="47" t="s">
        <v>1419</v>
      </c>
      <c r="E654" s="47" t="s">
        <v>1481</v>
      </c>
      <c r="F654" s="47"/>
      <c r="G654" s="47" t="s">
        <v>1466</v>
      </c>
      <c r="H654" s="47" t="s">
        <v>5132</v>
      </c>
      <c r="I654" s="50" t="s">
        <v>927</v>
      </c>
      <c r="J654" s="50" t="s">
        <v>5133</v>
      </c>
      <c r="K654" s="50" t="s">
        <v>1493</v>
      </c>
      <c r="L654" s="50" t="s">
        <v>1504</v>
      </c>
      <c r="M654" s="50" t="s">
        <v>5134</v>
      </c>
      <c r="N654" s="50" t="s">
        <v>1525</v>
      </c>
      <c r="O654" s="47" t="s">
        <v>5135</v>
      </c>
      <c r="P654" s="47" t="s">
        <v>5136</v>
      </c>
      <c r="Q654" s="47" t="s">
        <v>1463</v>
      </c>
      <c r="R654" s="47" t="s">
        <v>1463</v>
      </c>
      <c r="S654" s="43"/>
      <c r="T654" s="49">
        <v>45527</v>
      </c>
    </row>
    <row r="655" spans="1:20" ht="39.6">
      <c r="A655" s="44" t="s">
        <v>928</v>
      </c>
      <c r="B655" s="44" t="s">
        <v>5137</v>
      </c>
      <c r="C655" s="45" t="s">
        <v>929</v>
      </c>
      <c r="D655" s="44" t="s">
        <v>1419</v>
      </c>
      <c r="E655" s="44" t="s">
        <v>1481</v>
      </c>
      <c r="F655" s="44"/>
      <c r="G655" s="44" t="s">
        <v>1466</v>
      </c>
      <c r="H655" s="44" t="s">
        <v>5138</v>
      </c>
      <c r="I655" s="46" t="s">
        <v>5139</v>
      </c>
      <c r="J655" s="46" t="s">
        <v>5140</v>
      </c>
      <c r="K655" s="46" t="s">
        <v>2989</v>
      </c>
      <c r="L655" s="46" t="s">
        <v>1504</v>
      </c>
      <c r="M655" s="46" t="s">
        <v>5141</v>
      </c>
      <c r="N655" s="46" t="s">
        <v>1641</v>
      </c>
      <c r="O655" s="44" t="s">
        <v>5142</v>
      </c>
      <c r="P655" s="44" t="s">
        <v>5143</v>
      </c>
      <c r="Q655" s="44" t="s">
        <v>1463</v>
      </c>
      <c r="R655" s="44" t="s">
        <v>1463</v>
      </c>
      <c r="S655" s="43"/>
      <c r="T655" s="51">
        <v>45527</v>
      </c>
    </row>
    <row r="656" spans="1:20" ht="26.45">
      <c r="A656" s="47" t="s">
        <v>930</v>
      </c>
      <c r="B656" s="47" t="s">
        <v>5144</v>
      </c>
      <c r="C656" s="48" t="s">
        <v>931</v>
      </c>
      <c r="D656" s="47" t="s">
        <v>1414</v>
      </c>
      <c r="E656" s="47" t="s">
        <v>1481</v>
      </c>
      <c r="F656" s="47"/>
      <c r="G656" s="47" t="s">
        <v>1466</v>
      </c>
      <c r="H656" s="47" t="s">
        <v>5145</v>
      </c>
      <c r="I656" s="50" t="s">
        <v>5087</v>
      </c>
      <c r="J656" s="50" t="s">
        <v>5146</v>
      </c>
      <c r="K656" s="50" t="s">
        <v>2778</v>
      </c>
      <c r="L656" s="50" t="s">
        <v>1504</v>
      </c>
      <c r="M656" s="50" t="s">
        <v>5147</v>
      </c>
      <c r="N656" s="50" t="s">
        <v>1629</v>
      </c>
      <c r="O656" s="47" t="s">
        <v>5148</v>
      </c>
      <c r="P656" s="47" t="s">
        <v>5149</v>
      </c>
      <c r="Q656" s="47" t="s">
        <v>1463</v>
      </c>
      <c r="R656" s="47" t="s">
        <v>1463</v>
      </c>
      <c r="S656" s="43"/>
      <c r="T656" s="49">
        <v>45526</v>
      </c>
    </row>
    <row r="657" spans="1:20" ht="26.45">
      <c r="A657" s="44" t="s">
        <v>269</v>
      </c>
      <c r="B657" s="44" t="s">
        <v>5150</v>
      </c>
      <c r="C657" s="45" t="s">
        <v>932</v>
      </c>
      <c r="D657" s="44" t="s">
        <v>1419</v>
      </c>
      <c r="E657" s="44" t="s">
        <v>1481</v>
      </c>
      <c r="F657" s="44"/>
      <c r="G657" s="44" t="s">
        <v>1466</v>
      </c>
      <c r="H657" s="44" t="s">
        <v>5151</v>
      </c>
      <c r="I657" s="46" t="s">
        <v>5087</v>
      </c>
      <c r="J657" s="46" t="s">
        <v>5152</v>
      </c>
      <c r="K657" s="46" t="s">
        <v>1493</v>
      </c>
      <c r="L657" s="46" t="s">
        <v>1504</v>
      </c>
      <c r="M657" s="46" t="s">
        <v>5153</v>
      </c>
      <c r="N657" s="46" t="s">
        <v>1495</v>
      </c>
      <c r="O657" s="44" t="s">
        <v>5154</v>
      </c>
      <c r="P657" s="44" t="s">
        <v>5155</v>
      </c>
      <c r="Q657" s="44" t="s">
        <v>1463</v>
      </c>
      <c r="R657" s="44" t="s">
        <v>1463</v>
      </c>
      <c r="S657" s="43"/>
      <c r="T657" s="51">
        <v>45527</v>
      </c>
    </row>
    <row r="658" spans="1:20" ht="26.45">
      <c r="A658" s="47" t="s">
        <v>933</v>
      </c>
      <c r="B658" s="47" t="s">
        <v>5156</v>
      </c>
      <c r="C658" s="48" t="s">
        <v>934</v>
      </c>
      <c r="D658" s="47" t="s">
        <v>1419</v>
      </c>
      <c r="E658" s="47" t="s">
        <v>1481</v>
      </c>
      <c r="F658" s="47"/>
      <c r="G658" s="47" t="s">
        <v>1466</v>
      </c>
      <c r="H658" s="47" t="s">
        <v>5157</v>
      </c>
      <c r="I658" s="50" t="s">
        <v>934</v>
      </c>
      <c r="J658" s="50" t="s">
        <v>5158</v>
      </c>
      <c r="K658" s="50" t="s">
        <v>1493</v>
      </c>
      <c r="L658" s="50" t="s">
        <v>1504</v>
      </c>
      <c r="M658" s="50" t="s">
        <v>5159</v>
      </c>
      <c r="N658" s="50" t="s">
        <v>1629</v>
      </c>
      <c r="O658" s="47" t="s">
        <v>5160</v>
      </c>
      <c r="P658" s="47" t="s">
        <v>5161</v>
      </c>
      <c r="Q658" s="47" t="s">
        <v>1463</v>
      </c>
      <c r="R658" s="47" t="s">
        <v>1463</v>
      </c>
      <c r="S658" s="43"/>
      <c r="T658" s="49">
        <v>45527</v>
      </c>
    </row>
    <row r="659" spans="1:20" ht="26.45">
      <c r="A659" s="44" t="s">
        <v>935</v>
      </c>
      <c r="B659" s="44" t="s">
        <v>5162</v>
      </c>
      <c r="C659" s="45" t="s">
        <v>936</v>
      </c>
      <c r="D659" s="44" t="s">
        <v>1419</v>
      </c>
      <c r="E659" s="44" t="s">
        <v>1481</v>
      </c>
      <c r="F659" s="44"/>
      <c r="G659" s="44" t="s">
        <v>1466</v>
      </c>
      <c r="H659" s="44" t="s">
        <v>5163</v>
      </c>
      <c r="I659" s="46" t="s">
        <v>5164</v>
      </c>
      <c r="J659" s="46" t="s">
        <v>5165</v>
      </c>
      <c r="K659" s="46" t="s">
        <v>1493</v>
      </c>
      <c r="L659" s="46" t="s">
        <v>1504</v>
      </c>
      <c r="M659" s="46" t="s">
        <v>5166</v>
      </c>
      <c r="N659" s="46" t="s">
        <v>1495</v>
      </c>
      <c r="O659" s="44" t="s">
        <v>5167</v>
      </c>
      <c r="P659" s="44" t="s">
        <v>5168</v>
      </c>
      <c r="Q659" s="44" t="s">
        <v>1463</v>
      </c>
      <c r="R659" s="44" t="s">
        <v>1463</v>
      </c>
      <c r="S659" s="43"/>
      <c r="T659" s="51">
        <v>45527</v>
      </c>
    </row>
    <row r="660" spans="1:20" ht="26.45">
      <c r="A660" s="47" t="s">
        <v>937</v>
      </c>
      <c r="B660" s="47" t="s">
        <v>5169</v>
      </c>
      <c r="C660" s="48" t="s">
        <v>938</v>
      </c>
      <c r="D660" s="47" t="s">
        <v>1419</v>
      </c>
      <c r="E660" s="47" t="s">
        <v>1481</v>
      </c>
      <c r="F660" s="47"/>
      <c r="G660" s="47" t="s">
        <v>1466</v>
      </c>
      <c r="H660" s="47" t="s">
        <v>5170</v>
      </c>
      <c r="I660" s="50" t="s">
        <v>5087</v>
      </c>
      <c r="J660" s="50" t="s">
        <v>5171</v>
      </c>
      <c r="K660" s="50" t="s">
        <v>1493</v>
      </c>
      <c r="L660" s="50" t="s">
        <v>1504</v>
      </c>
      <c r="M660" s="50" t="s">
        <v>5159</v>
      </c>
      <c r="N660" s="50" t="s">
        <v>1495</v>
      </c>
      <c r="O660" s="47" t="s">
        <v>5172</v>
      </c>
      <c r="P660" s="47" t="s">
        <v>5173</v>
      </c>
      <c r="Q660" s="47" t="s">
        <v>1463</v>
      </c>
      <c r="R660" s="47" t="s">
        <v>1463</v>
      </c>
      <c r="S660" s="43"/>
      <c r="T660" s="49">
        <v>45527</v>
      </c>
    </row>
    <row r="661" spans="1:20" ht="26.45">
      <c r="A661" s="44" t="s">
        <v>270</v>
      </c>
      <c r="B661" s="44" t="s">
        <v>5174</v>
      </c>
      <c r="C661" s="45" t="s">
        <v>939</v>
      </c>
      <c r="D661" s="44" t="s">
        <v>1419</v>
      </c>
      <c r="E661" s="44" t="s">
        <v>1481</v>
      </c>
      <c r="F661" s="44"/>
      <c r="G661" s="44" t="s">
        <v>1466</v>
      </c>
      <c r="H661" s="44" t="s">
        <v>5175</v>
      </c>
      <c r="I661" s="46" t="s">
        <v>5176</v>
      </c>
      <c r="J661" s="46" t="s">
        <v>5177</v>
      </c>
      <c r="K661" s="46" t="s">
        <v>1503</v>
      </c>
      <c r="L661" s="46" t="s">
        <v>1504</v>
      </c>
      <c r="M661" s="46" t="s">
        <v>5178</v>
      </c>
      <c r="N661" s="46" t="s">
        <v>1744</v>
      </c>
      <c r="O661" s="44" t="s">
        <v>5179</v>
      </c>
      <c r="P661" s="44" t="s">
        <v>5180</v>
      </c>
      <c r="Q661" s="44" t="s">
        <v>1463</v>
      </c>
      <c r="R661" s="44" t="s">
        <v>1463</v>
      </c>
      <c r="S661" s="43"/>
      <c r="T661" s="51">
        <v>45531</v>
      </c>
    </row>
    <row r="662" spans="1:20" ht="26.45">
      <c r="A662" s="47" t="s">
        <v>940</v>
      </c>
      <c r="B662" s="47" t="s">
        <v>5181</v>
      </c>
      <c r="C662" s="48" t="s">
        <v>941</v>
      </c>
      <c r="D662" s="47" t="s">
        <v>1419</v>
      </c>
      <c r="E662" s="47" t="s">
        <v>1481</v>
      </c>
      <c r="F662" s="47"/>
      <c r="G662" s="47" t="s">
        <v>1466</v>
      </c>
      <c r="H662" s="47" t="s">
        <v>5182</v>
      </c>
      <c r="I662" s="50" t="s">
        <v>5183</v>
      </c>
      <c r="J662" s="50" t="s">
        <v>5184</v>
      </c>
      <c r="K662" s="50" t="s">
        <v>1503</v>
      </c>
      <c r="L662" s="50" t="s">
        <v>1504</v>
      </c>
      <c r="M662" s="50" t="s">
        <v>5178</v>
      </c>
      <c r="N662" s="50" t="s">
        <v>1476</v>
      </c>
      <c r="O662" s="47" t="s">
        <v>5185</v>
      </c>
      <c r="P662" s="47" t="s">
        <v>1783</v>
      </c>
      <c r="Q662" s="47" t="s">
        <v>1463</v>
      </c>
      <c r="R662" s="47" t="s">
        <v>1463</v>
      </c>
      <c r="S662" s="43"/>
      <c r="T662" s="49">
        <v>45527</v>
      </c>
    </row>
    <row r="663" spans="1:20" ht="26.45">
      <c r="A663" s="44" t="s">
        <v>271</v>
      </c>
      <c r="B663" s="44" t="s">
        <v>5186</v>
      </c>
      <c r="C663" s="45" t="s">
        <v>942</v>
      </c>
      <c r="D663" s="44" t="s">
        <v>1419</v>
      </c>
      <c r="E663" s="44" t="s">
        <v>1481</v>
      </c>
      <c r="F663" s="44"/>
      <c r="G663" s="44" t="s">
        <v>1466</v>
      </c>
      <c r="H663" s="44" t="s">
        <v>5187</v>
      </c>
      <c r="I663" s="46" t="s">
        <v>5188</v>
      </c>
      <c r="J663" s="46" t="s">
        <v>5189</v>
      </c>
      <c r="K663" s="46" t="s">
        <v>1493</v>
      </c>
      <c r="L663" s="46" t="s">
        <v>1474</v>
      </c>
      <c r="M663" s="46" t="s">
        <v>5190</v>
      </c>
      <c r="N663" s="46" t="s">
        <v>1641</v>
      </c>
      <c r="O663" s="44" t="s">
        <v>5191</v>
      </c>
      <c r="P663" s="44" t="s">
        <v>5192</v>
      </c>
      <c r="Q663" s="44" t="s">
        <v>1463</v>
      </c>
      <c r="R663" s="44" t="s">
        <v>1463</v>
      </c>
      <c r="S663" s="43"/>
      <c r="T663" s="51">
        <v>45581</v>
      </c>
    </row>
    <row r="664" spans="1:20">
      <c r="A664" s="47" t="s">
        <v>5193</v>
      </c>
      <c r="B664" s="47" t="s">
        <v>5194</v>
      </c>
      <c r="C664" s="48" t="s">
        <v>5195</v>
      </c>
      <c r="D664" s="47" t="s">
        <v>1432</v>
      </c>
      <c r="E664" s="47" t="s">
        <v>1481</v>
      </c>
      <c r="F664" s="47"/>
      <c r="G664" s="47" t="s">
        <v>1663</v>
      </c>
      <c r="H664" s="47" t="s">
        <v>5196</v>
      </c>
      <c r="I664" s="50" t="s">
        <v>5195</v>
      </c>
      <c r="J664" s="50"/>
      <c r="K664" s="50"/>
      <c r="L664" s="50"/>
      <c r="M664" s="50"/>
      <c r="N664" s="50"/>
      <c r="O664" s="47"/>
      <c r="P664" s="47"/>
      <c r="Q664" s="47" t="s">
        <v>1695</v>
      </c>
      <c r="R664" s="47" t="s">
        <v>1463</v>
      </c>
      <c r="S664" s="43"/>
      <c r="T664" s="47"/>
    </row>
    <row r="665" spans="1:20" ht="39.6">
      <c r="A665" s="44" t="s">
        <v>5197</v>
      </c>
      <c r="B665" s="44" t="s">
        <v>5198</v>
      </c>
      <c r="C665" s="45" t="s">
        <v>5199</v>
      </c>
      <c r="D665" s="44" t="s">
        <v>1432</v>
      </c>
      <c r="E665" s="44" t="s">
        <v>1481</v>
      </c>
      <c r="F665" s="44"/>
      <c r="G665" s="44" t="s">
        <v>1511</v>
      </c>
      <c r="H665" s="44" t="s">
        <v>5200</v>
      </c>
      <c r="I665" s="46" t="s">
        <v>5199</v>
      </c>
      <c r="J665" s="46"/>
      <c r="K665" s="46"/>
      <c r="L665" s="46"/>
      <c r="M665" s="46"/>
      <c r="N665" s="46"/>
      <c r="O665" s="44" t="s">
        <v>2262</v>
      </c>
      <c r="P665" s="44"/>
      <c r="Q665" s="44" t="s">
        <v>1463</v>
      </c>
      <c r="R665" s="44" t="s">
        <v>1463</v>
      </c>
      <c r="S665" s="43"/>
      <c r="T665" s="44"/>
    </row>
    <row r="666" spans="1:20" ht="26.45">
      <c r="A666" s="47" t="s">
        <v>272</v>
      </c>
      <c r="B666" s="47" t="s">
        <v>5201</v>
      </c>
      <c r="C666" s="48" t="s">
        <v>943</v>
      </c>
      <c r="D666" s="47" t="s">
        <v>1432</v>
      </c>
      <c r="E666" s="47" t="s">
        <v>1481</v>
      </c>
      <c r="F666" s="47"/>
      <c r="G666" s="47" t="s">
        <v>1687</v>
      </c>
      <c r="H666" s="47" t="s">
        <v>5202</v>
      </c>
      <c r="I666" s="50" t="s">
        <v>5203</v>
      </c>
      <c r="J666" s="50" t="s">
        <v>5204</v>
      </c>
      <c r="K666" s="50" t="s">
        <v>3138</v>
      </c>
      <c r="L666" s="50" t="s">
        <v>1474</v>
      </c>
      <c r="M666" s="50" t="s">
        <v>5205</v>
      </c>
      <c r="N666" s="50" t="s">
        <v>1641</v>
      </c>
      <c r="O666" s="47" t="s">
        <v>5206</v>
      </c>
      <c r="P666" s="47" t="s">
        <v>5207</v>
      </c>
      <c r="Q666" s="47" t="s">
        <v>1695</v>
      </c>
      <c r="R666" s="47" t="s">
        <v>1463</v>
      </c>
      <c r="S666" s="43"/>
      <c r="T666" s="49">
        <v>45485</v>
      </c>
    </row>
    <row r="667" spans="1:20" ht="26.45">
      <c r="A667" s="44" t="s">
        <v>944</v>
      </c>
      <c r="B667" s="44" t="s">
        <v>5208</v>
      </c>
      <c r="C667" s="45" t="s">
        <v>945</v>
      </c>
      <c r="D667" s="44" t="s">
        <v>1420</v>
      </c>
      <c r="E667" s="44" t="s">
        <v>1481</v>
      </c>
      <c r="F667" s="44"/>
      <c r="G667" s="44" t="s">
        <v>1466</v>
      </c>
      <c r="H667" s="44" t="s">
        <v>5209</v>
      </c>
      <c r="I667" s="46" t="s">
        <v>5210</v>
      </c>
      <c r="J667" s="46" t="s">
        <v>5211</v>
      </c>
      <c r="K667" s="46" t="s">
        <v>2184</v>
      </c>
      <c r="L667" s="46" t="s">
        <v>1504</v>
      </c>
      <c r="M667" s="46" t="s">
        <v>3968</v>
      </c>
      <c r="N667" s="46" t="s">
        <v>1476</v>
      </c>
      <c r="O667" s="44" t="s">
        <v>5212</v>
      </c>
      <c r="P667" s="44" t="s">
        <v>5213</v>
      </c>
      <c r="Q667" s="44" t="s">
        <v>1463</v>
      </c>
      <c r="R667" s="44" t="s">
        <v>1463</v>
      </c>
      <c r="S667" s="43"/>
      <c r="T667" s="51">
        <v>45363</v>
      </c>
    </row>
    <row r="668" spans="1:20" ht="26.45">
      <c r="A668" s="47" t="s">
        <v>946</v>
      </c>
      <c r="B668" s="47" t="s">
        <v>5214</v>
      </c>
      <c r="C668" s="48" t="s">
        <v>947</v>
      </c>
      <c r="D668" s="47" t="s">
        <v>1419</v>
      </c>
      <c r="E668" s="47" t="s">
        <v>1481</v>
      </c>
      <c r="F668" s="47"/>
      <c r="G668" s="47" t="s">
        <v>1466</v>
      </c>
      <c r="H668" s="47" t="s">
        <v>5215</v>
      </c>
      <c r="I668" s="50" t="s">
        <v>5216</v>
      </c>
      <c r="J668" s="50" t="s">
        <v>5217</v>
      </c>
      <c r="K668" s="50" t="s">
        <v>1493</v>
      </c>
      <c r="L668" s="50" t="s">
        <v>1504</v>
      </c>
      <c r="M668" s="50" t="s">
        <v>5218</v>
      </c>
      <c r="N668" s="50" t="s">
        <v>1476</v>
      </c>
      <c r="O668" s="47" t="s">
        <v>5219</v>
      </c>
      <c r="P668" s="47" t="s">
        <v>5220</v>
      </c>
      <c r="Q668" s="47" t="s">
        <v>1463</v>
      </c>
      <c r="R668" s="47" t="s">
        <v>1463</v>
      </c>
      <c r="S668" s="43"/>
      <c r="T668" s="49">
        <v>45562</v>
      </c>
    </row>
    <row r="669" spans="1:20" ht="26.45">
      <c r="A669" s="44" t="s">
        <v>273</v>
      </c>
      <c r="B669" s="44" t="s">
        <v>5221</v>
      </c>
      <c r="C669" s="45" t="s">
        <v>948</v>
      </c>
      <c r="D669" s="44" t="s">
        <v>1414</v>
      </c>
      <c r="E669" s="44" t="s">
        <v>1481</v>
      </c>
      <c r="F669" s="44"/>
      <c r="G669" s="44" t="s">
        <v>1466</v>
      </c>
      <c r="H669" s="44" t="s">
        <v>5222</v>
      </c>
      <c r="I669" s="46" t="s">
        <v>948</v>
      </c>
      <c r="J669" s="46" t="s">
        <v>5223</v>
      </c>
      <c r="K669" s="46" t="s">
        <v>1484</v>
      </c>
      <c r="L669" s="46" t="s">
        <v>1504</v>
      </c>
      <c r="M669" s="46" t="s">
        <v>5224</v>
      </c>
      <c r="N669" s="46" t="s">
        <v>1531</v>
      </c>
      <c r="O669" s="44" t="s">
        <v>5225</v>
      </c>
      <c r="P669" s="44" t="s">
        <v>5226</v>
      </c>
      <c r="Q669" s="44" t="s">
        <v>1463</v>
      </c>
      <c r="R669" s="44" t="s">
        <v>1463</v>
      </c>
      <c r="S669" s="43"/>
      <c r="T669" s="51">
        <v>45601</v>
      </c>
    </row>
    <row r="670" spans="1:20" ht="26.45">
      <c r="A670" s="47" t="s">
        <v>274</v>
      </c>
      <c r="B670" s="47" t="s">
        <v>5227</v>
      </c>
      <c r="C670" s="48" t="s">
        <v>949</v>
      </c>
      <c r="D670" s="47" t="s">
        <v>1419</v>
      </c>
      <c r="E670" s="47" t="s">
        <v>1481</v>
      </c>
      <c r="F670" s="47"/>
      <c r="G670" s="47" t="s">
        <v>1466</v>
      </c>
      <c r="H670" s="47" t="s">
        <v>5228</v>
      </c>
      <c r="I670" s="50" t="s">
        <v>5229</v>
      </c>
      <c r="J670" s="50" t="s">
        <v>5230</v>
      </c>
      <c r="K670" s="50" t="s">
        <v>1493</v>
      </c>
      <c r="L670" s="50" t="s">
        <v>1474</v>
      </c>
      <c r="M670" s="50" t="s">
        <v>5231</v>
      </c>
      <c r="N670" s="50" t="s">
        <v>1495</v>
      </c>
      <c r="O670" s="47" t="s">
        <v>5232</v>
      </c>
      <c r="P670" s="47" t="s">
        <v>5233</v>
      </c>
      <c r="Q670" s="47" t="s">
        <v>1463</v>
      </c>
      <c r="R670" s="47" t="s">
        <v>1463</v>
      </c>
      <c r="S670" s="43"/>
      <c r="T670" s="49">
        <v>45608</v>
      </c>
    </row>
    <row r="671" spans="1:20" ht="26.45">
      <c r="A671" s="44" t="s">
        <v>5234</v>
      </c>
      <c r="B671" s="44" t="s">
        <v>5235</v>
      </c>
      <c r="C671" s="45" t="s">
        <v>5236</v>
      </c>
      <c r="D671" s="44" t="s">
        <v>1419</v>
      </c>
      <c r="E671" s="44" t="s">
        <v>1481</v>
      </c>
      <c r="F671" s="44"/>
      <c r="G671" s="44" t="s">
        <v>1490</v>
      </c>
      <c r="H671" s="44" t="s">
        <v>5237</v>
      </c>
      <c r="I671" s="46" t="s">
        <v>5236</v>
      </c>
      <c r="J671" s="46" t="s">
        <v>5238</v>
      </c>
      <c r="K671" s="46" t="s">
        <v>1523</v>
      </c>
      <c r="L671" s="46" t="s">
        <v>1504</v>
      </c>
      <c r="M671" s="46" t="s">
        <v>5239</v>
      </c>
      <c r="N671" s="46"/>
      <c r="O671" s="44"/>
      <c r="P671" s="44"/>
      <c r="Q671" s="44" t="s">
        <v>1463</v>
      </c>
      <c r="R671" s="44" t="s">
        <v>1463</v>
      </c>
      <c r="S671" s="43"/>
      <c r="T671" s="44"/>
    </row>
    <row r="672" spans="1:20" ht="26.45">
      <c r="A672" s="47" t="s">
        <v>5240</v>
      </c>
      <c r="B672" s="47" t="s">
        <v>5241</v>
      </c>
      <c r="C672" s="48" t="s">
        <v>5242</v>
      </c>
      <c r="D672" s="47" t="s">
        <v>1419</v>
      </c>
      <c r="E672" s="47" t="s">
        <v>1481</v>
      </c>
      <c r="F672" s="47"/>
      <c r="G672" s="47" t="s">
        <v>1490</v>
      </c>
      <c r="H672" s="47" t="s">
        <v>5243</v>
      </c>
      <c r="I672" s="50" t="s">
        <v>5244</v>
      </c>
      <c r="J672" s="50" t="s">
        <v>5245</v>
      </c>
      <c r="K672" s="50" t="s">
        <v>1523</v>
      </c>
      <c r="L672" s="50" t="s">
        <v>1504</v>
      </c>
      <c r="M672" s="50" t="s">
        <v>5246</v>
      </c>
      <c r="N672" s="50" t="s">
        <v>1525</v>
      </c>
      <c r="O672" s="47" t="s">
        <v>5247</v>
      </c>
      <c r="P672" s="47"/>
      <c r="Q672" s="47" t="s">
        <v>1463</v>
      </c>
      <c r="R672" s="47" t="s">
        <v>1463</v>
      </c>
      <c r="S672" s="43"/>
      <c r="T672" s="49">
        <v>44138</v>
      </c>
    </row>
    <row r="673" spans="1:20" ht="26.45">
      <c r="A673" s="44" t="s">
        <v>5248</v>
      </c>
      <c r="B673" s="44" t="s">
        <v>5249</v>
      </c>
      <c r="C673" s="45" t="s">
        <v>5250</v>
      </c>
      <c r="D673" s="44" t="s">
        <v>1436</v>
      </c>
      <c r="E673" s="44" t="s">
        <v>1481</v>
      </c>
      <c r="F673" s="44"/>
      <c r="G673" s="44" t="s">
        <v>1490</v>
      </c>
      <c r="H673" s="44" t="s">
        <v>5251</v>
      </c>
      <c r="I673" s="46"/>
      <c r="J673" s="46"/>
      <c r="K673" s="46"/>
      <c r="L673" s="46"/>
      <c r="M673" s="46"/>
      <c r="N673" s="46"/>
      <c r="O673" s="44"/>
      <c r="P673" s="44"/>
      <c r="Q673" s="44" t="s">
        <v>1463</v>
      </c>
      <c r="R673" s="44" t="s">
        <v>1463</v>
      </c>
      <c r="S673" s="43"/>
      <c r="T673" s="44"/>
    </row>
    <row r="674" spans="1:20" ht="26.45">
      <c r="A674" s="47" t="s">
        <v>5252</v>
      </c>
      <c r="B674" s="47" t="s">
        <v>5253</v>
      </c>
      <c r="C674" s="48" t="s">
        <v>5254</v>
      </c>
      <c r="D674" s="47" t="s">
        <v>1414</v>
      </c>
      <c r="E674" s="47" t="s">
        <v>1481</v>
      </c>
      <c r="F674" s="47"/>
      <c r="G674" s="47" t="s">
        <v>1490</v>
      </c>
      <c r="H674" s="47"/>
      <c r="I674" s="50"/>
      <c r="J674" s="50" t="s">
        <v>5255</v>
      </c>
      <c r="K674" s="50" t="s">
        <v>1484</v>
      </c>
      <c r="L674" s="50" t="s">
        <v>1504</v>
      </c>
      <c r="M674" s="50" t="s">
        <v>5256</v>
      </c>
      <c r="N674" s="50"/>
      <c r="O674" s="47"/>
      <c r="P674" s="47"/>
      <c r="Q674" s="47" t="s">
        <v>1463</v>
      </c>
      <c r="R674" s="47" t="s">
        <v>1463</v>
      </c>
      <c r="S674" s="43"/>
      <c r="T674" s="47"/>
    </row>
    <row r="675" spans="1:20">
      <c r="A675" s="44" t="s">
        <v>5257</v>
      </c>
      <c r="B675" s="44" t="s">
        <v>5258</v>
      </c>
      <c r="C675" s="45" t="s">
        <v>5259</v>
      </c>
      <c r="D675" s="44" t="s">
        <v>1424</v>
      </c>
      <c r="E675" s="44" t="s">
        <v>1460</v>
      </c>
      <c r="F675" s="51">
        <v>42689.929879548603</v>
      </c>
      <c r="G675" s="44" t="s">
        <v>1466</v>
      </c>
      <c r="H675" s="44" t="s">
        <v>5260</v>
      </c>
      <c r="I675" s="46" t="s">
        <v>5259</v>
      </c>
      <c r="J675" s="46" t="s">
        <v>5261</v>
      </c>
      <c r="K675" s="46" t="s">
        <v>4565</v>
      </c>
      <c r="L675" s="46" t="s">
        <v>1504</v>
      </c>
      <c r="M675" s="46" t="s">
        <v>5262</v>
      </c>
      <c r="N675" s="46"/>
      <c r="O675" s="44" t="s">
        <v>5263</v>
      </c>
      <c r="P675" s="44"/>
      <c r="Q675" s="44" t="s">
        <v>1463</v>
      </c>
      <c r="R675" s="44" t="s">
        <v>1463</v>
      </c>
      <c r="S675" s="43"/>
      <c r="T675" s="51">
        <v>42996</v>
      </c>
    </row>
    <row r="676" spans="1:20" ht="26.45">
      <c r="A676" s="47" t="s">
        <v>5264</v>
      </c>
      <c r="B676" s="47" t="s">
        <v>5265</v>
      </c>
      <c r="C676" s="48" t="s">
        <v>5266</v>
      </c>
      <c r="D676" s="47" t="s">
        <v>1419</v>
      </c>
      <c r="E676" s="47" t="s">
        <v>1460</v>
      </c>
      <c r="F676" s="49">
        <v>42689.951522766198</v>
      </c>
      <c r="G676" s="47" t="s">
        <v>1490</v>
      </c>
      <c r="H676" s="47" t="s">
        <v>5267</v>
      </c>
      <c r="I676" s="50" t="s">
        <v>5266</v>
      </c>
      <c r="J676" s="50" t="s">
        <v>5268</v>
      </c>
      <c r="K676" s="50" t="s">
        <v>2829</v>
      </c>
      <c r="L676" s="50" t="s">
        <v>1504</v>
      </c>
      <c r="M676" s="50" t="s">
        <v>5269</v>
      </c>
      <c r="N676" s="50" t="s">
        <v>1729</v>
      </c>
      <c r="O676" s="47" t="s">
        <v>5270</v>
      </c>
      <c r="P676" s="47"/>
      <c r="Q676" s="47" t="s">
        <v>1463</v>
      </c>
      <c r="R676" s="47" t="s">
        <v>1463</v>
      </c>
      <c r="S676" s="43"/>
      <c r="T676" s="49">
        <v>42969</v>
      </c>
    </row>
    <row r="677" spans="1:20">
      <c r="A677" s="44" t="s">
        <v>5271</v>
      </c>
      <c r="B677" s="44" t="s">
        <v>5272</v>
      </c>
      <c r="C677" s="45" t="s">
        <v>5273</v>
      </c>
      <c r="D677" s="44" t="s">
        <v>1414</v>
      </c>
      <c r="E677" s="44" t="s">
        <v>1481</v>
      </c>
      <c r="F677" s="44"/>
      <c r="G677" s="44" t="s">
        <v>1618</v>
      </c>
      <c r="H677" s="44"/>
      <c r="I677" s="46"/>
      <c r="J677" s="46"/>
      <c r="K677" s="46"/>
      <c r="L677" s="46"/>
      <c r="M677" s="46"/>
      <c r="N677" s="46"/>
      <c r="O677" s="44"/>
      <c r="P677" s="44"/>
      <c r="Q677" s="44" t="s">
        <v>1463</v>
      </c>
      <c r="R677" s="44" t="s">
        <v>1463</v>
      </c>
      <c r="S677" s="43"/>
      <c r="T677" s="44"/>
    </row>
    <row r="678" spans="1:20" ht="26.45">
      <c r="A678" s="47" t="s">
        <v>5274</v>
      </c>
      <c r="B678" s="47" t="s">
        <v>5275</v>
      </c>
      <c r="C678" s="48" t="s">
        <v>5276</v>
      </c>
      <c r="D678" s="47" t="s">
        <v>1419</v>
      </c>
      <c r="E678" s="47" t="s">
        <v>1481</v>
      </c>
      <c r="F678" s="47"/>
      <c r="G678" s="47" t="s">
        <v>1490</v>
      </c>
      <c r="H678" s="47" t="s">
        <v>5277</v>
      </c>
      <c r="I678" s="50"/>
      <c r="J678" s="50" t="s">
        <v>5278</v>
      </c>
      <c r="K678" s="50" t="s">
        <v>5279</v>
      </c>
      <c r="L678" s="50" t="s">
        <v>1504</v>
      </c>
      <c r="M678" s="50" t="s">
        <v>5280</v>
      </c>
      <c r="N678" s="50" t="s">
        <v>1629</v>
      </c>
      <c r="O678" s="47"/>
      <c r="P678" s="47"/>
      <c r="Q678" s="47" t="s">
        <v>1463</v>
      </c>
      <c r="R678" s="47" t="s">
        <v>1463</v>
      </c>
      <c r="S678" s="43"/>
      <c r="T678" s="47"/>
    </row>
    <row r="679" spans="1:20" ht="26.45">
      <c r="A679" s="44" t="s">
        <v>5281</v>
      </c>
      <c r="B679" s="44" t="s">
        <v>5282</v>
      </c>
      <c r="C679" s="45" t="s">
        <v>5283</v>
      </c>
      <c r="D679" s="44" t="s">
        <v>1419</v>
      </c>
      <c r="E679" s="44" t="s">
        <v>1481</v>
      </c>
      <c r="F679" s="44"/>
      <c r="G679" s="44" t="s">
        <v>1490</v>
      </c>
      <c r="H679" s="44" t="s">
        <v>5284</v>
      </c>
      <c r="I679" s="46" t="s">
        <v>5283</v>
      </c>
      <c r="J679" s="46" t="s">
        <v>5285</v>
      </c>
      <c r="K679" s="46" t="s">
        <v>1493</v>
      </c>
      <c r="L679" s="46" t="s">
        <v>1504</v>
      </c>
      <c r="M679" s="46" t="s">
        <v>2607</v>
      </c>
      <c r="N679" s="46" t="s">
        <v>1641</v>
      </c>
      <c r="O679" s="44" t="s">
        <v>5286</v>
      </c>
      <c r="P679" s="44"/>
      <c r="Q679" s="44" t="s">
        <v>1463</v>
      </c>
      <c r="R679" s="44" t="s">
        <v>1463</v>
      </c>
      <c r="S679" s="43"/>
      <c r="T679" s="51">
        <v>45411</v>
      </c>
    </row>
    <row r="680" spans="1:20" ht="26.45">
      <c r="A680" s="47" t="s">
        <v>275</v>
      </c>
      <c r="B680" s="47" t="s">
        <v>5287</v>
      </c>
      <c r="C680" s="48" t="s">
        <v>950</v>
      </c>
      <c r="D680" s="47" t="s">
        <v>1416</v>
      </c>
      <c r="E680" s="47" t="s">
        <v>1481</v>
      </c>
      <c r="F680" s="47"/>
      <c r="G680" s="47" t="s">
        <v>1466</v>
      </c>
      <c r="H680" s="47" t="s">
        <v>5288</v>
      </c>
      <c r="I680" s="50" t="s">
        <v>5289</v>
      </c>
      <c r="J680" s="50" t="s">
        <v>5290</v>
      </c>
      <c r="K680" s="50" t="s">
        <v>3421</v>
      </c>
      <c r="L680" s="50" t="s">
        <v>1474</v>
      </c>
      <c r="M680" s="50" t="s">
        <v>5291</v>
      </c>
      <c r="N680" s="50" t="s">
        <v>1516</v>
      </c>
      <c r="O680" s="47" t="s">
        <v>5292</v>
      </c>
      <c r="P680" s="47" t="s">
        <v>5293</v>
      </c>
      <c r="Q680" s="47" t="s">
        <v>1463</v>
      </c>
      <c r="R680" s="47" t="s">
        <v>1463</v>
      </c>
      <c r="S680" s="43"/>
      <c r="T680" s="49">
        <v>45453</v>
      </c>
    </row>
    <row r="681" spans="1:20">
      <c r="A681" s="44" t="s">
        <v>5294</v>
      </c>
      <c r="B681" s="44"/>
      <c r="C681" s="45" t="s">
        <v>5295</v>
      </c>
      <c r="D681" s="44" t="s">
        <v>1416</v>
      </c>
      <c r="E681" s="44" t="s">
        <v>1460</v>
      </c>
      <c r="F681" s="51">
        <v>41584.9860680903</v>
      </c>
      <c r="G681" s="44" t="s">
        <v>1687</v>
      </c>
      <c r="H681" s="44"/>
      <c r="I681" s="46"/>
      <c r="J681" s="46"/>
      <c r="K681" s="46"/>
      <c r="L681" s="46"/>
      <c r="M681" s="46"/>
      <c r="N681" s="46"/>
      <c r="O681" s="44"/>
      <c r="P681" s="44"/>
      <c r="Q681" s="44" t="s">
        <v>1695</v>
      </c>
      <c r="R681" s="44" t="s">
        <v>1463</v>
      </c>
      <c r="S681" s="43"/>
      <c r="T681" s="44"/>
    </row>
    <row r="682" spans="1:20" ht="26.45">
      <c r="A682" s="47" t="s">
        <v>276</v>
      </c>
      <c r="B682" s="47" t="s">
        <v>5296</v>
      </c>
      <c r="C682" s="48" t="s">
        <v>951</v>
      </c>
      <c r="D682" s="47" t="s">
        <v>1416</v>
      </c>
      <c r="E682" s="47" t="s">
        <v>1481</v>
      </c>
      <c r="F682" s="47"/>
      <c r="G682" s="47" t="s">
        <v>1687</v>
      </c>
      <c r="H682" s="47" t="s">
        <v>5297</v>
      </c>
      <c r="I682" s="50" t="s">
        <v>5298</v>
      </c>
      <c r="J682" s="50" t="s">
        <v>5299</v>
      </c>
      <c r="K682" s="50" t="s">
        <v>3421</v>
      </c>
      <c r="L682" s="50" t="s">
        <v>2117</v>
      </c>
      <c r="M682" s="50" t="s">
        <v>5300</v>
      </c>
      <c r="N682" s="50" t="s">
        <v>1516</v>
      </c>
      <c r="O682" s="47" t="s">
        <v>5301</v>
      </c>
      <c r="P682" s="47" t="s">
        <v>5302</v>
      </c>
      <c r="Q682" s="47" t="s">
        <v>1463</v>
      </c>
      <c r="R682" s="47" t="s">
        <v>1463</v>
      </c>
      <c r="S682" s="43"/>
      <c r="T682" s="49">
        <v>45404</v>
      </c>
    </row>
    <row r="683" spans="1:20">
      <c r="A683" s="44" t="s">
        <v>5303</v>
      </c>
      <c r="B683" s="44"/>
      <c r="C683" s="45" t="s">
        <v>5304</v>
      </c>
      <c r="D683" s="44" t="s">
        <v>1436</v>
      </c>
      <c r="E683" s="44" t="s">
        <v>1460</v>
      </c>
      <c r="F683" s="51">
        <v>41457.382443553201</v>
      </c>
      <c r="G683" s="44" t="s">
        <v>1687</v>
      </c>
      <c r="H683" s="44"/>
      <c r="I683" s="46"/>
      <c r="J683" s="46"/>
      <c r="K683" s="46"/>
      <c r="L683" s="46"/>
      <c r="M683" s="46"/>
      <c r="N683" s="46"/>
      <c r="O683" s="44"/>
      <c r="P683" s="44"/>
      <c r="Q683" s="44" t="s">
        <v>1463</v>
      </c>
      <c r="R683" s="44" t="s">
        <v>1463</v>
      </c>
      <c r="S683" s="43"/>
      <c r="T683" s="44"/>
    </row>
    <row r="684" spans="1:20" ht="26.45">
      <c r="A684" s="47" t="s">
        <v>277</v>
      </c>
      <c r="B684" s="47" t="s">
        <v>5305</v>
      </c>
      <c r="C684" s="48" t="s">
        <v>952</v>
      </c>
      <c r="D684" s="47" t="s">
        <v>1420</v>
      </c>
      <c r="E684" s="47" t="s">
        <v>1481</v>
      </c>
      <c r="F684" s="47"/>
      <c r="G684" s="47" t="s">
        <v>1687</v>
      </c>
      <c r="H684" s="47" t="s">
        <v>5306</v>
      </c>
      <c r="I684" s="50" t="s">
        <v>5307</v>
      </c>
      <c r="J684" s="50" t="s">
        <v>5308</v>
      </c>
      <c r="K684" s="50" t="s">
        <v>5309</v>
      </c>
      <c r="L684" s="50" t="s">
        <v>1504</v>
      </c>
      <c r="M684" s="50" t="s">
        <v>5310</v>
      </c>
      <c r="N684" s="50" t="s">
        <v>1476</v>
      </c>
      <c r="O684" s="47" t="s">
        <v>5311</v>
      </c>
      <c r="P684" s="47" t="s">
        <v>5312</v>
      </c>
      <c r="Q684" s="47" t="s">
        <v>1695</v>
      </c>
      <c r="R684" s="47" t="s">
        <v>1463</v>
      </c>
      <c r="S684" s="43"/>
      <c r="T684" s="49">
        <v>45314</v>
      </c>
    </row>
    <row r="685" spans="1:20">
      <c r="A685" s="44" t="s">
        <v>5313</v>
      </c>
      <c r="B685" s="44" t="s">
        <v>5314</v>
      </c>
      <c r="C685" s="45" t="s">
        <v>5315</v>
      </c>
      <c r="D685" s="44" t="s">
        <v>1433</v>
      </c>
      <c r="E685" s="44" t="s">
        <v>1481</v>
      </c>
      <c r="F685" s="44"/>
      <c r="G685" s="44" t="s">
        <v>1687</v>
      </c>
      <c r="H685" s="44"/>
      <c r="I685" s="46"/>
      <c r="J685" s="46"/>
      <c r="K685" s="46"/>
      <c r="L685" s="46"/>
      <c r="M685" s="46"/>
      <c r="N685" s="46"/>
      <c r="O685" s="44"/>
      <c r="P685" s="44"/>
      <c r="Q685" s="44" t="s">
        <v>1695</v>
      </c>
      <c r="R685" s="44" t="s">
        <v>1463</v>
      </c>
      <c r="S685" s="43"/>
      <c r="T685" s="44"/>
    </row>
    <row r="686" spans="1:20" ht="26.45">
      <c r="A686" s="47" t="s">
        <v>278</v>
      </c>
      <c r="B686" s="47" t="s">
        <v>5316</v>
      </c>
      <c r="C686" s="48" t="s">
        <v>953</v>
      </c>
      <c r="D686" s="47" t="s">
        <v>1419</v>
      </c>
      <c r="E686" s="47" t="s">
        <v>1481</v>
      </c>
      <c r="F686" s="47"/>
      <c r="G686" s="47" t="s">
        <v>1687</v>
      </c>
      <c r="H686" s="47" t="s">
        <v>5317</v>
      </c>
      <c r="I686" s="50" t="s">
        <v>5318</v>
      </c>
      <c r="J686" s="50" t="s">
        <v>5319</v>
      </c>
      <c r="K686" s="50" t="s">
        <v>1541</v>
      </c>
      <c r="L686" s="50" t="s">
        <v>1504</v>
      </c>
      <c r="M686" s="50" t="s">
        <v>5320</v>
      </c>
      <c r="N686" s="50" t="s">
        <v>1516</v>
      </c>
      <c r="O686" s="47" t="s">
        <v>5321</v>
      </c>
      <c r="P686" s="47" t="s">
        <v>5322</v>
      </c>
      <c r="Q686" s="47" t="s">
        <v>1463</v>
      </c>
      <c r="R686" s="47" t="s">
        <v>1463</v>
      </c>
      <c r="S686" s="43"/>
      <c r="T686" s="49">
        <v>45677</v>
      </c>
    </row>
    <row r="687" spans="1:20">
      <c r="A687" s="44" t="s">
        <v>5323</v>
      </c>
      <c r="B687" s="44" t="s">
        <v>3456</v>
      </c>
      <c r="C687" s="45" t="s">
        <v>5324</v>
      </c>
      <c r="D687" s="44" t="s">
        <v>1431</v>
      </c>
      <c r="E687" s="44" t="s">
        <v>1481</v>
      </c>
      <c r="F687" s="44"/>
      <c r="G687" s="44" t="s">
        <v>1461</v>
      </c>
      <c r="H687" s="44" t="s">
        <v>5325</v>
      </c>
      <c r="I687" s="46" t="s">
        <v>5324</v>
      </c>
      <c r="J687" s="46" t="s">
        <v>5326</v>
      </c>
      <c r="K687" s="46" t="s">
        <v>5327</v>
      </c>
      <c r="L687" s="46" t="s">
        <v>1504</v>
      </c>
      <c r="M687" s="46" t="s">
        <v>5328</v>
      </c>
      <c r="N687" s="46" t="s">
        <v>1476</v>
      </c>
      <c r="O687" s="44" t="s">
        <v>5329</v>
      </c>
      <c r="P687" s="44"/>
      <c r="Q687" s="44" t="s">
        <v>1463</v>
      </c>
      <c r="R687" s="44" t="s">
        <v>1463</v>
      </c>
      <c r="S687" s="43"/>
      <c r="T687" s="51">
        <v>44474</v>
      </c>
    </row>
    <row r="688" spans="1:20" ht="26.45">
      <c r="A688" s="47" t="s">
        <v>5330</v>
      </c>
      <c r="B688" s="47" t="s">
        <v>5331</v>
      </c>
      <c r="C688" s="48" t="s">
        <v>5332</v>
      </c>
      <c r="D688" s="47" t="s">
        <v>1431</v>
      </c>
      <c r="E688" s="47" t="s">
        <v>1481</v>
      </c>
      <c r="F688" s="47"/>
      <c r="G688" s="47" t="s">
        <v>1687</v>
      </c>
      <c r="H688" s="47" t="s">
        <v>5333</v>
      </c>
      <c r="I688" s="50" t="s">
        <v>5334</v>
      </c>
      <c r="J688" s="50" t="s">
        <v>5335</v>
      </c>
      <c r="K688" s="50" t="s">
        <v>5336</v>
      </c>
      <c r="L688" s="50" t="s">
        <v>1504</v>
      </c>
      <c r="M688" s="50" t="s">
        <v>5337</v>
      </c>
      <c r="N688" s="50" t="s">
        <v>1476</v>
      </c>
      <c r="O688" s="47" t="s">
        <v>5338</v>
      </c>
      <c r="P688" s="47" t="s">
        <v>5339</v>
      </c>
      <c r="Q688" s="47" t="s">
        <v>1695</v>
      </c>
      <c r="R688" s="47" t="s">
        <v>1463</v>
      </c>
      <c r="S688" s="43"/>
      <c r="T688" s="49">
        <v>45600</v>
      </c>
    </row>
    <row r="689" spans="1:20">
      <c r="A689" s="44" t="s">
        <v>5340</v>
      </c>
      <c r="B689" s="44" t="s">
        <v>3709</v>
      </c>
      <c r="C689" s="45" t="s">
        <v>5341</v>
      </c>
      <c r="D689" s="44" t="s">
        <v>1431</v>
      </c>
      <c r="E689" s="44" t="s">
        <v>1460</v>
      </c>
      <c r="F689" s="44"/>
      <c r="G689" s="44" t="s">
        <v>1618</v>
      </c>
      <c r="H689" s="44" t="s">
        <v>5342</v>
      </c>
      <c r="I689" s="46" t="s">
        <v>5341</v>
      </c>
      <c r="J689" s="46" t="s">
        <v>5343</v>
      </c>
      <c r="K689" s="46" t="s">
        <v>5327</v>
      </c>
      <c r="L689" s="46" t="s">
        <v>1504</v>
      </c>
      <c r="M689" s="46" t="s">
        <v>5337</v>
      </c>
      <c r="N689" s="46" t="s">
        <v>1476</v>
      </c>
      <c r="O689" s="44" t="s">
        <v>5338</v>
      </c>
      <c r="P689" s="44"/>
      <c r="Q689" s="44" t="s">
        <v>1695</v>
      </c>
      <c r="R689" s="44" t="s">
        <v>1463</v>
      </c>
      <c r="S689" s="43"/>
      <c r="T689" s="51">
        <v>42550</v>
      </c>
    </row>
    <row r="690" spans="1:20">
      <c r="A690" s="47" t="s">
        <v>954</v>
      </c>
      <c r="B690" s="47" t="s">
        <v>5344</v>
      </c>
      <c r="C690" s="48" t="s">
        <v>955</v>
      </c>
      <c r="D690" s="47" t="s">
        <v>1431</v>
      </c>
      <c r="E690" s="47" t="s">
        <v>1481</v>
      </c>
      <c r="F690" s="47"/>
      <c r="G690" s="47" t="s">
        <v>1687</v>
      </c>
      <c r="H690" s="47"/>
      <c r="I690" s="50" t="s">
        <v>5345</v>
      </c>
      <c r="J690" s="50" t="s">
        <v>5346</v>
      </c>
      <c r="K690" s="50" t="s">
        <v>5336</v>
      </c>
      <c r="L690" s="50" t="s">
        <v>1504</v>
      </c>
      <c r="M690" s="50" t="s">
        <v>5347</v>
      </c>
      <c r="N690" s="50" t="s">
        <v>1476</v>
      </c>
      <c r="O690" s="47" t="s">
        <v>5348</v>
      </c>
      <c r="P690" s="47"/>
      <c r="Q690" s="47" t="s">
        <v>1463</v>
      </c>
      <c r="R690" s="47" t="s">
        <v>1463</v>
      </c>
      <c r="S690" s="43"/>
      <c r="T690" s="49">
        <v>44166</v>
      </c>
    </row>
    <row r="691" spans="1:20" ht="26.45">
      <c r="A691" s="44" t="s">
        <v>279</v>
      </c>
      <c r="B691" s="44" t="s">
        <v>5349</v>
      </c>
      <c r="C691" s="45" t="s">
        <v>956</v>
      </c>
      <c r="D691" s="44" t="s">
        <v>1420</v>
      </c>
      <c r="E691" s="44" t="s">
        <v>1481</v>
      </c>
      <c r="F691" s="44"/>
      <c r="G691" s="44" t="s">
        <v>1466</v>
      </c>
      <c r="H691" s="44" t="s">
        <v>5350</v>
      </c>
      <c r="I691" s="46" t="s">
        <v>5351</v>
      </c>
      <c r="J691" s="46" t="s">
        <v>5352</v>
      </c>
      <c r="K691" s="46" t="s">
        <v>3443</v>
      </c>
      <c r="L691" s="46" t="s">
        <v>1474</v>
      </c>
      <c r="M691" s="46" t="s">
        <v>5353</v>
      </c>
      <c r="N691" s="46" t="s">
        <v>1531</v>
      </c>
      <c r="O691" s="44" t="s">
        <v>5354</v>
      </c>
      <c r="P691" s="44" t="s">
        <v>5355</v>
      </c>
      <c r="Q691" s="44" t="s">
        <v>1463</v>
      </c>
      <c r="R691" s="44" t="s">
        <v>1463</v>
      </c>
      <c r="S691" s="43"/>
      <c r="T691" s="51">
        <v>45643</v>
      </c>
    </row>
    <row r="692" spans="1:20">
      <c r="A692" s="47" t="s">
        <v>5356</v>
      </c>
      <c r="B692" s="47" t="s">
        <v>5357</v>
      </c>
      <c r="C692" s="48" t="s">
        <v>5358</v>
      </c>
      <c r="D692" s="47" t="s">
        <v>1416</v>
      </c>
      <c r="E692" s="47" t="s">
        <v>1481</v>
      </c>
      <c r="F692" s="47"/>
      <c r="G692" s="47" t="s">
        <v>1466</v>
      </c>
      <c r="H692" s="47" t="s">
        <v>5359</v>
      </c>
      <c r="I692" s="50"/>
      <c r="J692" s="50"/>
      <c r="K692" s="50"/>
      <c r="L692" s="50"/>
      <c r="M692" s="50"/>
      <c r="N692" s="50"/>
      <c r="O692" s="47"/>
      <c r="P692" s="47"/>
      <c r="Q692" s="47" t="s">
        <v>1463</v>
      </c>
      <c r="R692" s="47" t="s">
        <v>1463</v>
      </c>
      <c r="S692" s="43"/>
      <c r="T692" s="47"/>
    </row>
    <row r="693" spans="1:20" ht="26.45">
      <c r="A693" s="44" t="s">
        <v>280</v>
      </c>
      <c r="B693" s="44" t="s">
        <v>5360</v>
      </c>
      <c r="C693" s="45" t="s">
        <v>957</v>
      </c>
      <c r="D693" s="44" t="s">
        <v>1416</v>
      </c>
      <c r="E693" s="44" t="s">
        <v>1481</v>
      </c>
      <c r="F693" s="44"/>
      <c r="G693" s="44" t="s">
        <v>1687</v>
      </c>
      <c r="H693" s="44" t="s">
        <v>5361</v>
      </c>
      <c r="I693" s="46" t="s">
        <v>5362</v>
      </c>
      <c r="J693" s="46" t="s">
        <v>5363</v>
      </c>
      <c r="K693" s="46" t="s">
        <v>5364</v>
      </c>
      <c r="L693" s="46" t="s">
        <v>1474</v>
      </c>
      <c r="M693" s="46" t="s">
        <v>5365</v>
      </c>
      <c r="N693" s="46" t="s">
        <v>1476</v>
      </c>
      <c r="O693" s="44" t="s">
        <v>5366</v>
      </c>
      <c r="P693" s="44" t="s">
        <v>5367</v>
      </c>
      <c r="Q693" s="44" t="s">
        <v>1695</v>
      </c>
      <c r="R693" s="44" t="s">
        <v>1463</v>
      </c>
      <c r="S693" s="43"/>
      <c r="T693" s="51">
        <v>45356</v>
      </c>
    </row>
    <row r="694" spans="1:20">
      <c r="A694" s="47" t="s">
        <v>5368</v>
      </c>
      <c r="B694" s="47"/>
      <c r="C694" s="48" t="s">
        <v>5369</v>
      </c>
      <c r="D694" s="47" t="s">
        <v>1430</v>
      </c>
      <c r="E694" s="47" t="s">
        <v>1460</v>
      </c>
      <c r="F694" s="49">
        <v>41793.646942013896</v>
      </c>
      <c r="G694" s="47" t="s">
        <v>1466</v>
      </c>
      <c r="H694" s="47"/>
      <c r="I694" s="50"/>
      <c r="J694" s="50"/>
      <c r="K694" s="50"/>
      <c r="L694" s="50"/>
      <c r="M694" s="50"/>
      <c r="N694" s="50"/>
      <c r="O694" s="47"/>
      <c r="P694" s="47"/>
      <c r="Q694" s="47" t="s">
        <v>1463</v>
      </c>
      <c r="R694" s="47" t="s">
        <v>1463</v>
      </c>
      <c r="S694" s="43"/>
      <c r="T694" s="47"/>
    </row>
    <row r="695" spans="1:20" ht="26.45">
      <c r="A695" s="44" t="s">
        <v>5370</v>
      </c>
      <c r="B695" s="44" t="s">
        <v>5371</v>
      </c>
      <c r="C695" s="45" t="s">
        <v>5372</v>
      </c>
      <c r="D695" s="44" t="s">
        <v>1419</v>
      </c>
      <c r="E695" s="44" t="s">
        <v>1481</v>
      </c>
      <c r="F695" s="44"/>
      <c r="G695" s="44" t="s">
        <v>1490</v>
      </c>
      <c r="H695" s="44" t="s">
        <v>5373</v>
      </c>
      <c r="I695" s="46" t="s">
        <v>5374</v>
      </c>
      <c r="J695" s="46" t="s">
        <v>5375</v>
      </c>
      <c r="K695" s="46" t="s">
        <v>1493</v>
      </c>
      <c r="L695" s="46" t="s">
        <v>1504</v>
      </c>
      <c r="M695" s="46" t="s">
        <v>5376</v>
      </c>
      <c r="N695" s="46" t="s">
        <v>1495</v>
      </c>
      <c r="O695" s="44" t="s">
        <v>5377</v>
      </c>
      <c r="P695" s="44"/>
      <c r="Q695" s="44" t="s">
        <v>1463</v>
      </c>
      <c r="R695" s="44" t="s">
        <v>1463</v>
      </c>
      <c r="S695" s="43"/>
      <c r="T695" s="51">
        <v>43229</v>
      </c>
    </row>
    <row r="696" spans="1:20">
      <c r="A696" s="47" t="s">
        <v>5378</v>
      </c>
      <c r="B696" s="47"/>
      <c r="C696" s="48" t="s">
        <v>5379</v>
      </c>
      <c r="D696" s="47" t="s">
        <v>1414</v>
      </c>
      <c r="E696" s="47" t="s">
        <v>1460</v>
      </c>
      <c r="F696" s="49">
        <v>41967.765269560201</v>
      </c>
      <c r="G696" s="47" t="s">
        <v>1466</v>
      </c>
      <c r="H696" s="47"/>
      <c r="I696" s="50"/>
      <c r="J696" s="50"/>
      <c r="K696" s="50"/>
      <c r="L696" s="50"/>
      <c r="M696" s="50"/>
      <c r="N696" s="50"/>
      <c r="O696" s="47"/>
      <c r="P696" s="47"/>
      <c r="Q696" s="47" t="s">
        <v>1463</v>
      </c>
      <c r="R696" s="47" t="s">
        <v>1463</v>
      </c>
      <c r="S696" s="43"/>
      <c r="T696" s="47"/>
    </row>
    <row r="697" spans="1:20" ht="26.45">
      <c r="A697" s="44" t="s">
        <v>281</v>
      </c>
      <c r="B697" s="44" t="s">
        <v>5380</v>
      </c>
      <c r="C697" s="45" t="s">
        <v>958</v>
      </c>
      <c r="D697" s="44" t="s">
        <v>1419</v>
      </c>
      <c r="E697" s="44" t="s">
        <v>1481</v>
      </c>
      <c r="F697" s="44"/>
      <c r="G697" s="44" t="s">
        <v>1687</v>
      </c>
      <c r="H697" s="44" t="s">
        <v>5381</v>
      </c>
      <c r="I697" s="46" t="s">
        <v>5382</v>
      </c>
      <c r="J697" s="46" t="s">
        <v>5383</v>
      </c>
      <c r="K697" s="46" t="s">
        <v>3523</v>
      </c>
      <c r="L697" s="46" t="s">
        <v>1474</v>
      </c>
      <c r="M697" s="46" t="s">
        <v>5384</v>
      </c>
      <c r="N697" s="46" t="s">
        <v>1629</v>
      </c>
      <c r="O697" s="44" t="s">
        <v>5385</v>
      </c>
      <c r="P697" s="44" t="s">
        <v>5386</v>
      </c>
      <c r="Q697" s="44" t="s">
        <v>1695</v>
      </c>
      <c r="R697" s="44" t="s">
        <v>1463</v>
      </c>
      <c r="S697" s="43"/>
      <c r="T697" s="51">
        <v>45394</v>
      </c>
    </row>
    <row r="698" spans="1:20" ht="26.45">
      <c r="A698" s="47" t="s">
        <v>282</v>
      </c>
      <c r="B698" s="47" t="s">
        <v>5387</v>
      </c>
      <c r="C698" s="48" t="s">
        <v>959</v>
      </c>
      <c r="D698" s="47" t="s">
        <v>1419</v>
      </c>
      <c r="E698" s="47" t="s">
        <v>1481</v>
      </c>
      <c r="F698" s="47"/>
      <c r="G698" s="47" t="s">
        <v>1466</v>
      </c>
      <c r="H698" s="47" t="s">
        <v>5388</v>
      </c>
      <c r="I698" s="50" t="s">
        <v>959</v>
      </c>
      <c r="J698" s="50" t="s">
        <v>5389</v>
      </c>
      <c r="K698" s="50" t="s">
        <v>1888</v>
      </c>
      <c r="L698" s="50" t="s">
        <v>1504</v>
      </c>
      <c r="M698" s="50" t="s">
        <v>5390</v>
      </c>
      <c r="N698" s="50" t="s">
        <v>1744</v>
      </c>
      <c r="O698" s="47" t="s">
        <v>5391</v>
      </c>
      <c r="P698" s="47" t="s">
        <v>5392</v>
      </c>
      <c r="Q698" s="47" t="s">
        <v>1463</v>
      </c>
      <c r="R698" s="47" t="s">
        <v>1463</v>
      </c>
      <c r="S698" s="43"/>
      <c r="T698" s="49">
        <v>45583</v>
      </c>
    </row>
    <row r="699" spans="1:20" ht="26.45">
      <c r="A699" s="44" t="s">
        <v>5393</v>
      </c>
      <c r="B699" s="44" t="s">
        <v>5394</v>
      </c>
      <c r="C699" s="45" t="s">
        <v>5395</v>
      </c>
      <c r="D699" s="44" t="s">
        <v>1419</v>
      </c>
      <c r="E699" s="44" t="s">
        <v>1481</v>
      </c>
      <c r="F699" s="44"/>
      <c r="G699" s="44" t="s">
        <v>1585</v>
      </c>
      <c r="H699" s="44"/>
      <c r="I699" s="46"/>
      <c r="J699" s="46"/>
      <c r="K699" s="46"/>
      <c r="L699" s="46"/>
      <c r="M699" s="46"/>
      <c r="N699" s="46"/>
      <c r="O699" s="44"/>
      <c r="P699" s="44"/>
      <c r="Q699" s="44" t="s">
        <v>1463</v>
      </c>
      <c r="R699" s="44" t="s">
        <v>1463</v>
      </c>
      <c r="S699" s="43"/>
      <c r="T699" s="44"/>
    </row>
    <row r="700" spans="1:20" ht="26.45">
      <c r="A700" s="47" t="s">
        <v>283</v>
      </c>
      <c r="B700" s="47" t="s">
        <v>5396</v>
      </c>
      <c r="C700" s="48" t="s">
        <v>960</v>
      </c>
      <c r="D700" s="47" t="s">
        <v>1410</v>
      </c>
      <c r="E700" s="47" t="s">
        <v>1481</v>
      </c>
      <c r="F700" s="47"/>
      <c r="G700" s="47" t="s">
        <v>1466</v>
      </c>
      <c r="H700" s="47" t="s">
        <v>5397</v>
      </c>
      <c r="I700" s="50" t="s">
        <v>960</v>
      </c>
      <c r="J700" s="50" t="s">
        <v>5398</v>
      </c>
      <c r="K700" s="50" t="s">
        <v>1419</v>
      </c>
      <c r="L700" s="50" t="s">
        <v>1504</v>
      </c>
      <c r="M700" s="50" t="s">
        <v>5399</v>
      </c>
      <c r="N700" s="50" t="s">
        <v>1641</v>
      </c>
      <c r="O700" s="47" t="s">
        <v>5400</v>
      </c>
      <c r="P700" s="47" t="s">
        <v>5401</v>
      </c>
      <c r="Q700" s="47" t="s">
        <v>1463</v>
      </c>
      <c r="R700" s="47" t="s">
        <v>1463</v>
      </c>
      <c r="S700" s="43"/>
      <c r="T700" s="49">
        <v>45583</v>
      </c>
    </row>
    <row r="701" spans="1:20" ht="26.45">
      <c r="A701" s="44" t="s">
        <v>284</v>
      </c>
      <c r="B701" s="44" t="s">
        <v>5402</v>
      </c>
      <c r="C701" s="45" t="s">
        <v>961</v>
      </c>
      <c r="D701" s="44" t="s">
        <v>1419</v>
      </c>
      <c r="E701" s="44" t="s">
        <v>1481</v>
      </c>
      <c r="F701" s="44"/>
      <c r="G701" s="44" t="s">
        <v>1466</v>
      </c>
      <c r="H701" s="44" t="s">
        <v>5403</v>
      </c>
      <c r="I701" s="46" t="s">
        <v>961</v>
      </c>
      <c r="J701" s="46" t="s">
        <v>5404</v>
      </c>
      <c r="K701" s="46" t="s">
        <v>3985</v>
      </c>
      <c r="L701" s="46" t="s">
        <v>1504</v>
      </c>
      <c r="M701" s="46" t="s">
        <v>5405</v>
      </c>
      <c r="N701" s="46" t="s">
        <v>1744</v>
      </c>
      <c r="O701" s="44" t="s">
        <v>5406</v>
      </c>
      <c r="P701" s="44" t="s">
        <v>5407</v>
      </c>
      <c r="Q701" s="44" t="s">
        <v>1463</v>
      </c>
      <c r="R701" s="44" t="s">
        <v>1463</v>
      </c>
      <c r="S701" s="43"/>
      <c r="T701" s="51">
        <v>45593</v>
      </c>
    </row>
    <row r="702" spans="1:20" ht="26.45">
      <c r="A702" s="47" t="s">
        <v>5408</v>
      </c>
      <c r="B702" s="47" t="s">
        <v>5409</v>
      </c>
      <c r="C702" s="48" t="s">
        <v>5410</v>
      </c>
      <c r="D702" s="47" t="s">
        <v>1419</v>
      </c>
      <c r="E702" s="47" t="s">
        <v>1481</v>
      </c>
      <c r="F702" s="47"/>
      <c r="G702" s="47" t="s">
        <v>1490</v>
      </c>
      <c r="H702" s="47" t="s">
        <v>5411</v>
      </c>
      <c r="I702" s="50" t="s">
        <v>5410</v>
      </c>
      <c r="J702" s="50" t="s">
        <v>5412</v>
      </c>
      <c r="K702" s="50" t="s">
        <v>1727</v>
      </c>
      <c r="L702" s="50" t="s">
        <v>1504</v>
      </c>
      <c r="M702" s="50" t="s">
        <v>5413</v>
      </c>
      <c r="N702" s="50" t="s">
        <v>1729</v>
      </c>
      <c r="O702" s="47" t="s">
        <v>5414</v>
      </c>
      <c r="P702" s="47"/>
      <c r="Q702" s="47" t="s">
        <v>1463</v>
      </c>
      <c r="R702" s="47" t="s">
        <v>1463</v>
      </c>
      <c r="S702" s="43"/>
      <c r="T702" s="49">
        <v>44753</v>
      </c>
    </row>
    <row r="703" spans="1:20" ht="26.45">
      <c r="A703" s="44" t="s">
        <v>962</v>
      </c>
      <c r="B703" s="44" t="s">
        <v>5415</v>
      </c>
      <c r="C703" s="45" t="s">
        <v>963</v>
      </c>
      <c r="D703" s="44" t="s">
        <v>1419</v>
      </c>
      <c r="E703" s="44" t="s">
        <v>1481</v>
      </c>
      <c r="F703" s="44"/>
      <c r="G703" s="44" t="s">
        <v>1466</v>
      </c>
      <c r="H703" s="44" t="s">
        <v>5416</v>
      </c>
      <c r="I703" s="46" t="s">
        <v>963</v>
      </c>
      <c r="J703" s="46" t="s">
        <v>5417</v>
      </c>
      <c r="K703" s="46" t="s">
        <v>1503</v>
      </c>
      <c r="L703" s="46" t="s">
        <v>1474</v>
      </c>
      <c r="M703" s="46" t="s">
        <v>5418</v>
      </c>
      <c r="N703" s="46" t="s">
        <v>1476</v>
      </c>
      <c r="O703" s="44" t="s">
        <v>5419</v>
      </c>
      <c r="P703" s="44" t="s">
        <v>5420</v>
      </c>
      <c r="Q703" s="44" t="s">
        <v>1463</v>
      </c>
      <c r="R703" s="44" t="s">
        <v>1463</v>
      </c>
      <c r="S703" s="43"/>
      <c r="T703" s="51">
        <v>45624</v>
      </c>
    </row>
    <row r="704" spans="1:20">
      <c r="A704" s="47" t="s">
        <v>5421</v>
      </c>
      <c r="B704" s="47" t="s">
        <v>5422</v>
      </c>
      <c r="C704" s="48" t="s">
        <v>5423</v>
      </c>
      <c r="D704" s="47" t="s">
        <v>1419</v>
      </c>
      <c r="E704" s="47" t="s">
        <v>1460</v>
      </c>
      <c r="F704" s="49">
        <v>42550.747463576401</v>
      </c>
      <c r="G704" s="47" t="s">
        <v>1466</v>
      </c>
      <c r="H704" s="47" t="s">
        <v>5424</v>
      </c>
      <c r="I704" s="50" t="s">
        <v>5423</v>
      </c>
      <c r="J704" s="50" t="s">
        <v>5425</v>
      </c>
      <c r="K704" s="50" t="s">
        <v>2213</v>
      </c>
      <c r="L704" s="50" t="s">
        <v>1504</v>
      </c>
      <c r="M704" s="50" t="s">
        <v>5426</v>
      </c>
      <c r="N704" s="50" t="s">
        <v>1744</v>
      </c>
      <c r="O704" s="47" t="s">
        <v>5427</v>
      </c>
      <c r="P704" s="47"/>
      <c r="Q704" s="47" t="s">
        <v>1463</v>
      </c>
      <c r="R704" s="47" t="s">
        <v>1463</v>
      </c>
      <c r="S704" s="43"/>
      <c r="T704" s="49">
        <v>42892</v>
      </c>
    </row>
    <row r="705" spans="1:20" ht="26.45">
      <c r="A705" s="44" t="s">
        <v>285</v>
      </c>
      <c r="B705" s="44" t="s">
        <v>5428</v>
      </c>
      <c r="C705" s="45" t="s">
        <v>964</v>
      </c>
      <c r="D705" s="44" t="s">
        <v>1410</v>
      </c>
      <c r="E705" s="44" t="s">
        <v>1481</v>
      </c>
      <c r="F705" s="44"/>
      <c r="G705" s="44" t="s">
        <v>1466</v>
      </c>
      <c r="H705" s="44" t="s">
        <v>5429</v>
      </c>
      <c r="I705" s="46" t="s">
        <v>5430</v>
      </c>
      <c r="J705" s="46" t="s">
        <v>5431</v>
      </c>
      <c r="K705" s="46" t="s">
        <v>1691</v>
      </c>
      <c r="L705" s="46" t="s">
        <v>1504</v>
      </c>
      <c r="M705" s="46" t="s">
        <v>5432</v>
      </c>
      <c r="N705" s="46" t="s">
        <v>1495</v>
      </c>
      <c r="O705" s="44" t="s">
        <v>5433</v>
      </c>
      <c r="P705" s="44" t="s">
        <v>5434</v>
      </c>
      <c r="Q705" s="44" t="s">
        <v>1463</v>
      </c>
      <c r="R705" s="44" t="s">
        <v>1463</v>
      </c>
      <c r="S705" s="43"/>
      <c r="T705" s="51">
        <v>45631</v>
      </c>
    </row>
    <row r="706" spans="1:20" ht="26.45">
      <c r="A706" s="47" t="s">
        <v>286</v>
      </c>
      <c r="B706" s="47" t="s">
        <v>5435</v>
      </c>
      <c r="C706" s="48" t="s">
        <v>965</v>
      </c>
      <c r="D706" s="47" t="s">
        <v>1410</v>
      </c>
      <c r="E706" s="47" t="s">
        <v>1481</v>
      </c>
      <c r="F706" s="47"/>
      <c r="G706" s="47" t="s">
        <v>1466</v>
      </c>
      <c r="H706" s="47" t="s">
        <v>5436</v>
      </c>
      <c r="I706" s="50" t="s">
        <v>965</v>
      </c>
      <c r="J706" s="50" t="s">
        <v>5437</v>
      </c>
      <c r="K706" s="50" t="s">
        <v>2989</v>
      </c>
      <c r="L706" s="50" t="s">
        <v>1504</v>
      </c>
      <c r="M706" s="50" t="s">
        <v>5438</v>
      </c>
      <c r="N706" s="50" t="s">
        <v>1641</v>
      </c>
      <c r="O706" s="47" t="s">
        <v>5439</v>
      </c>
      <c r="P706" s="47" t="s">
        <v>5440</v>
      </c>
      <c r="Q706" s="47" t="s">
        <v>1463</v>
      </c>
      <c r="R706" s="47" t="s">
        <v>1463</v>
      </c>
      <c r="S706" s="43"/>
      <c r="T706" s="49">
        <v>45637</v>
      </c>
    </row>
    <row r="707" spans="1:20" ht="26.45">
      <c r="A707" s="44" t="s">
        <v>287</v>
      </c>
      <c r="B707" s="44" t="s">
        <v>5441</v>
      </c>
      <c r="C707" s="45" t="s">
        <v>966</v>
      </c>
      <c r="D707" s="44" t="s">
        <v>1410</v>
      </c>
      <c r="E707" s="44" t="s">
        <v>1481</v>
      </c>
      <c r="F707" s="44"/>
      <c r="G707" s="44" t="s">
        <v>1466</v>
      </c>
      <c r="H707" s="44" t="s">
        <v>5442</v>
      </c>
      <c r="I707" s="46" t="s">
        <v>5443</v>
      </c>
      <c r="J707" s="46" t="s">
        <v>5444</v>
      </c>
      <c r="K707" s="46" t="s">
        <v>1975</v>
      </c>
      <c r="L707" s="46" t="s">
        <v>1504</v>
      </c>
      <c r="M707" s="46" t="s">
        <v>5445</v>
      </c>
      <c r="N707" s="46" t="s">
        <v>1744</v>
      </c>
      <c r="O707" s="44" t="s">
        <v>5446</v>
      </c>
      <c r="P707" s="44" t="s">
        <v>5447</v>
      </c>
      <c r="Q707" s="44" t="s">
        <v>1463</v>
      </c>
      <c r="R707" s="44" t="s">
        <v>1463</v>
      </c>
      <c r="S707" s="43"/>
      <c r="T707" s="51">
        <v>45631</v>
      </c>
    </row>
    <row r="708" spans="1:20" ht="26.45">
      <c r="A708" s="47" t="s">
        <v>288</v>
      </c>
      <c r="B708" s="47" t="s">
        <v>5448</v>
      </c>
      <c r="C708" s="48" t="s">
        <v>967</v>
      </c>
      <c r="D708" s="47" t="s">
        <v>1419</v>
      </c>
      <c r="E708" s="47" t="s">
        <v>1481</v>
      </c>
      <c r="F708" s="47"/>
      <c r="G708" s="47" t="s">
        <v>1466</v>
      </c>
      <c r="H708" s="47" t="s">
        <v>5449</v>
      </c>
      <c r="I708" s="50" t="s">
        <v>967</v>
      </c>
      <c r="J708" s="50" t="s">
        <v>5450</v>
      </c>
      <c r="K708" s="50" t="s">
        <v>1493</v>
      </c>
      <c r="L708" s="50" t="s">
        <v>1504</v>
      </c>
      <c r="M708" s="50" t="s">
        <v>5451</v>
      </c>
      <c r="N708" s="50" t="s">
        <v>1525</v>
      </c>
      <c r="O708" s="47" t="s">
        <v>5452</v>
      </c>
      <c r="P708" s="47" t="s">
        <v>5453</v>
      </c>
      <c r="Q708" s="47" t="s">
        <v>1463</v>
      </c>
      <c r="R708" s="47" t="s">
        <v>1463</v>
      </c>
      <c r="S708" s="43"/>
      <c r="T708" s="49">
        <v>45629</v>
      </c>
    </row>
    <row r="709" spans="1:20" ht="26.45">
      <c r="A709" s="44" t="s">
        <v>289</v>
      </c>
      <c r="B709" s="44" t="s">
        <v>5454</v>
      </c>
      <c r="C709" s="45" t="s">
        <v>968</v>
      </c>
      <c r="D709" s="44" t="s">
        <v>1419</v>
      </c>
      <c r="E709" s="44" t="s">
        <v>1481</v>
      </c>
      <c r="F709" s="44"/>
      <c r="G709" s="44" t="s">
        <v>1466</v>
      </c>
      <c r="H709" s="44" t="s">
        <v>5455</v>
      </c>
      <c r="I709" s="46" t="s">
        <v>968</v>
      </c>
      <c r="J709" s="46" t="s">
        <v>5456</v>
      </c>
      <c r="K709" s="46" t="s">
        <v>1503</v>
      </c>
      <c r="L709" s="46" t="s">
        <v>1504</v>
      </c>
      <c r="M709" s="46" t="s">
        <v>5457</v>
      </c>
      <c r="N709" s="46" t="s">
        <v>1744</v>
      </c>
      <c r="O709" s="44" t="s">
        <v>5458</v>
      </c>
      <c r="P709" s="44" t="s">
        <v>5459</v>
      </c>
      <c r="Q709" s="44" t="s">
        <v>1463</v>
      </c>
      <c r="R709" s="44" t="s">
        <v>1463</v>
      </c>
      <c r="S709" s="43"/>
      <c r="T709" s="51">
        <v>45637</v>
      </c>
    </row>
    <row r="710" spans="1:20" ht="26.45">
      <c r="A710" s="47" t="s">
        <v>290</v>
      </c>
      <c r="B710" s="47" t="s">
        <v>5460</v>
      </c>
      <c r="C710" s="48" t="s">
        <v>969</v>
      </c>
      <c r="D710" s="47" t="s">
        <v>1419</v>
      </c>
      <c r="E710" s="47" t="s">
        <v>1481</v>
      </c>
      <c r="F710" s="47"/>
      <c r="G710" s="47" t="s">
        <v>1466</v>
      </c>
      <c r="H710" s="47" t="s">
        <v>5461</v>
      </c>
      <c r="I710" s="50" t="s">
        <v>969</v>
      </c>
      <c r="J710" s="50" t="s">
        <v>5462</v>
      </c>
      <c r="K710" s="50" t="s">
        <v>1484</v>
      </c>
      <c r="L710" s="50" t="s">
        <v>1504</v>
      </c>
      <c r="M710" s="50" t="s">
        <v>5463</v>
      </c>
      <c r="N710" s="50" t="s">
        <v>1531</v>
      </c>
      <c r="O710" s="47" t="s">
        <v>5464</v>
      </c>
      <c r="P710" s="47" t="s">
        <v>5465</v>
      </c>
      <c r="Q710" s="47" t="s">
        <v>1463</v>
      </c>
      <c r="R710" s="47" t="s">
        <v>1463</v>
      </c>
      <c r="S710" s="43"/>
      <c r="T710" s="49">
        <v>45592</v>
      </c>
    </row>
    <row r="711" spans="1:20" ht="26.45">
      <c r="A711" s="44" t="s">
        <v>291</v>
      </c>
      <c r="B711" s="44" t="s">
        <v>5466</v>
      </c>
      <c r="C711" s="45" t="s">
        <v>970</v>
      </c>
      <c r="D711" s="44" t="s">
        <v>1419</v>
      </c>
      <c r="E711" s="44" t="s">
        <v>1481</v>
      </c>
      <c r="F711" s="44"/>
      <c r="G711" s="44" t="s">
        <v>1466</v>
      </c>
      <c r="H711" s="44" t="s">
        <v>5467</v>
      </c>
      <c r="I711" s="46" t="s">
        <v>970</v>
      </c>
      <c r="J711" s="46" t="s">
        <v>5468</v>
      </c>
      <c r="K711" s="46" t="s">
        <v>1888</v>
      </c>
      <c r="L711" s="46" t="s">
        <v>1504</v>
      </c>
      <c r="M711" s="46" t="s">
        <v>5469</v>
      </c>
      <c r="N711" s="46" t="s">
        <v>1744</v>
      </c>
      <c r="O711" s="44" t="s">
        <v>5470</v>
      </c>
      <c r="P711" s="44" t="s">
        <v>5471</v>
      </c>
      <c r="Q711" s="44" t="s">
        <v>1463</v>
      </c>
      <c r="R711" s="44" t="s">
        <v>1463</v>
      </c>
      <c r="S711" s="43"/>
      <c r="T711" s="51">
        <v>45631</v>
      </c>
    </row>
    <row r="712" spans="1:20" ht="26.45">
      <c r="A712" s="47" t="s">
        <v>292</v>
      </c>
      <c r="B712" s="47" t="s">
        <v>5472</v>
      </c>
      <c r="C712" s="48" t="s">
        <v>971</v>
      </c>
      <c r="D712" s="47" t="s">
        <v>1419</v>
      </c>
      <c r="E712" s="47" t="s">
        <v>1481</v>
      </c>
      <c r="F712" s="47"/>
      <c r="G712" s="47" t="s">
        <v>1466</v>
      </c>
      <c r="H712" s="47" t="s">
        <v>5473</v>
      </c>
      <c r="I712" s="50" t="s">
        <v>971</v>
      </c>
      <c r="J712" s="50" t="s">
        <v>5474</v>
      </c>
      <c r="K712" s="50" t="s">
        <v>1549</v>
      </c>
      <c r="L712" s="50" t="s">
        <v>1504</v>
      </c>
      <c r="M712" s="50" t="s">
        <v>5475</v>
      </c>
      <c r="N712" s="50" t="s">
        <v>1729</v>
      </c>
      <c r="O712" s="47" t="s">
        <v>5476</v>
      </c>
      <c r="P712" s="47" t="s">
        <v>5477</v>
      </c>
      <c r="Q712" s="47" t="s">
        <v>1463</v>
      </c>
      <c r="R712" s="47" t="s">
        <v>1463</v>
      </c>
      <c r="S712" s="43"/>
      <c r="T712" s="49">
        <v>45637</v>
      </c>
    </row>
    <row r="713" spans="1:20" ht="26.45">
      <c r="A713" s="44" t="s">
        <v>293</v>
      </c>
      <c r="B713" s="44" t="s">
        <v>5478</v>
      </c>
      <c r="C713" s="45" t="s">
        <v>972</v>
      </c>
      <c r="D713" s="44" t="s">
        <v>1424</v>
      </c>
      <c r="E713" s="44" t="s">
        <v>1481</v>
      </c>
      <c r="F713" s="44"/>
      <c r="G713" s="44" t="s">
        <v>1466</v>
      </c>
      <c r="H713" s="44" t="s">
        <v>5479</v>
      </c>
      <c r="I713" s="46" t="s">
        <v>972</v>
      </c>
      <c r="J713" s="46" t="s">
        <v>5480</v>
      </c>
      <c r="K713" s="46" t="s">
        <v>2097</v>
      </c>
      <c r="L713" s="46" t="s">
        <v>1504</v>
      </c>
      <c r="M713" s="46" t="s">
        <v>2750</v>
      </c>
      <c r="N713" s="46" t="s">
        <v>1629</v>
      </c>
      <c r="O713" s="44" t="s">
        <v>5481</v>
      </c>
      <c r="P713" s="44" t="s">
        <v>5482</v>
      </c>
      <c r="Q713" s="44" t="s">
        <v>1463</v>
      </c>
      <c r="R713" s="44" t="s">
        <v>1463</v>
      </c>
      <c r="S713" s="43"/>
      <c r="T713" s="51">
        <v>45637</v>
      </c>
    </row>
    <row r="714" spans="1:20" ht="26.45">
      <c r="A714" s="47" t="s">
        <v>294</v>
      </c>
      <c r="B714" s="47" t="s">
        <v>5483</v>
      </c>
      <c r="C714" s="48" t="s">
        <v>973</v>
      </c>
      <c r="D714" s="47" t="s">
        <v>1419</v>
      </c>
      <c r="E714" s="47" t="s">
        <v>1481</v>
      </c>
      <c r="F714" s="47"/>
      <c r="G714" s="47" t="s">
        <v>1466</v>
      </c>
      <c r="H714" s="47" t="s">
        <v>5484</v>
      </c>
      <c r="I714" s="50" t="s">
        <v>5485</v>
      </c>
      <c r="J714" s="50" t="s">
        <v>5486</v>
      </c>
      <c r="K714" s="50" t="s">
        <v>3523</v>
      </c>
      <c r="L714" s="50" t="s">
        <v>1504</v>
      </c>
      <c r="M714" s="50" t="s">
        <v>5487</v>
      </c>
      <c r="N714" s="50" t="s">
        <v>1629</v>
      </c>
      <c r="O714" s="47" t="s">
        <v>5488</v>
      </c>
      <c r="P714" s="47" t="s">
        <v>5489</v>
      </c>
      <c r="Q714" s="47" t="s">
        <v>1463</v>
      </c>
      <c r="R714" s="47" t="s">
        <v>1463</v>
      </c>
      <c r="S714" s="43"/>
      <c r="T714" s="49">
        <v>45638</v>
      </c>
    </row>
    <row r="715" spans="1:20" ht="26.45">
      <c r="A715" s="44" t="s">
        <v>295</v>
      </c>
      <c r="B715" s="44" t="s">
        <v>5490</v>
      </c>
      <c r="C715" s="45" t="s">
        <v>974</v>
      </c>
      <c r="D715" s="44" t="s">
        <v>1410</v>
      </c>
      <c r="E715" s="44" t="s">
        <v>1481</v>
      </c>
      <c r="F715" s="44"/>
      <c r="G715" s="44" t="s">
        <v>1466</v>
      </c>
      <c r="H715" s="44" t="s">
        <v>5491</v>
      </c>
      <c r="I715" s="46" t="s">
        <v>974</v>
      </c>
      <c r="J715" s="46" t="s">
        <v>5492</v>
      </c>
      <c r="K715" s="46" t="s">
        <v>1419</v>
      </c>
      <c r="L715" s="46" t="s">
        <v>1504</v>
      </c>
      <c r="M715" s="46" t="s">
        <v>5493</v>
      </c>
      <c r="N715" s="46" t="s">
        <v>1641</v>
      </c>
      <c r="O715" s="44" t="s">
        <v>5494</v>
      </c>
      <c r="P715" s="44" t="s">
        <v>5495</v>
      </c>
      <c r="Q715" s="44" t="s">
        <v>1463</v>
      </c>
      <c r="R715" s="44" t="s">
        <v>1463</v>
      </c>
      <c r="S715" s="43"/>
      <c r="T715" s="51">
        <v>45651</v>
      </c>
    </row>
    <row r="716" spans="1:20" ht="26.45">
      <c r="A716" s="47" t="s">
        <v>296</v>
      </c>
      <c r="B716" s="47" t="s">
        <v>5496</v>
      </c>
      <c r="C716" s="48" t="s">
        <v>975</v>
      </c>
      <c r="D716" s="47" t="s">
        <v>1419</v>
      </c>
      <c r="E716" s="47" t="s">
        <v>1481</v>
      </c>
      <c r="F716" s="47"/>
      <c r="G716" s="47" t="s">
        <v>1466</v>
      </c>
      <c r="H716" s="47" t="s">
        <v>5497</v>
      </c>
      <c r="I716" s="50" t="s">
        <v>975</v>
      </c>
      <c r="J716" s="50" t="s">
        <v>5498</v>
      </c>
      <c r="K716" s="50" t="s">
        <v>1503</v>
      </c>
      <c r="L716" s="50" t="s">
        <v>1504</v>
      </c>
      <c r="M716" s="50" t="s">
        <v>5499</v>
      </c>
      <c r="N716" s="50" t="s">
        <v>1476</v>
      </c>
      <c r="O716" s="47" t="s">
        <v>5500</v>
      </c>
      <c r="P716" s="47" t="s">
        <v>5501</v>
      </c>
      <c r="Q716" s="47" t="s">
        <v>1463</v>
      </c>
      <c r="R716" s="47" t="s">
        <v>1463</v>
      </c>
      <c r="S716" s="43"/>
      <c r="T716" s="49">
        <v>45631</v>
      </c>
    </row>
    <row r="717" spans="1:20" ht="26.45">
      <c r="A717" s="44" t="s">
        <v>297</v>
      </c>
      <c r="B717" s="44" t="s">
        <v>5502</v>
      </c>
      <c r="C717" s="45" t="s">
        <v>976</v>
      </c>
      <c r="D717" s="44" t="s">
        <v>1419</v>
      </c>
      <c r="E717" s="44" t="s">
        <v>1481</v>
      </c>
      <c r="F717" s="44"/>
      <c r="G717" s="44" t="s">
        <v>1466</v>
      </c>
      <c r="H717" s="44" t="s">
        <v>5503</v>
      </c>
      <c r="I717" s="46" t="s">
        <v>976</v>
      </c>
      <c r="J717" s="46" t="s">
        <v>5504</v>
      </c>
      <c r="K717" s="46" t="s">
        <v>1975</v>
      </c>
      <c r="L717" s="46" t="s">
        <v>1504</v>
      </c>
      <c r="M717" s="46" t="s">
        <v>5505</v>
      </c>
      <c r="N717" s="46" t="s">
        <v>1476</v>
      </c>
      <c r="O717" s="44" t="s">
        <v>5506</v>
      </c>
      <c r="P717" s="44" t="s">
        <v>5507</v>
      </c>
      <c r="Q717" s="44" t="s">
        <v>1463</v>
      </c>
      <c r="R717" s="44" t="s">
        <v>1463</v>
      </c>
      <c r="S717" s="43"/>
      <c r="T717" s="51">
        <v>45631</v>
      </c>
    </row>
    <row r="718" spans="1:20" ht="26.45">
      <c r="A718" s="47" t="s">
        <v>977</v>
      </c>
      <c r="B718" s="47" t="s">
        <v>5508</v>
      </c>
      <c r="C718" s="48" t="s">
        <v>978</v>
      </c>
      <c r="D718" s="47" t="s">
        <v>1419</v>
      </c>
      <c r="E718" s="47" t="s">
        <v>1481</v>
      </c>
      <c r="F718" s="47"/>
      <c r="G718" s="47" t="s">
        <v>1466</v>
      </c>
      <c r="H718" s="47" t="s">
        <v>5509</v>
      </c>
      <c r="I718" s="50" t="s">
        <v>978</v>
      </c>
      <c r="J718" s="50" t="s">
        <v>5510</v>
      </c>
      <c r="K718" s="50" t="s">
        <v>1493</v>
      </c>
      <c r="L718" s="50" t="s">
        <v>1504</v>
      </c>
      <c r="M718" s="50" t="s">
        <v>5511</v>
      </c>
      <c r="N718" s="50" t="s">
        <v>1629</v>
      </c>
      <c r="O718" s="47" t="s">
        <v>5512</v>
      </c>
      <c r="P718" s="47" t="s">
        <v>5513</v>
      </c>
      <c r="Q718" s="47" t="s">
        <v>1463</v>
      </c>
      <c r="R718" s="47" t="s">
        <v>1463</v>
      </c>
      <c r="S718" s="43"/>
      <c r="T718" s="49">
        <v>45631</v>
      </c>
    </row>
    <row r="719" spans="1:20" ht="26.45">
      <c r="A719" s="44" t="s">
        <v>298</v>
      </c>
      <c r="B719" s="44" t="s">
        <v>5514</v>
      </c>
      <c r="C719" s="45" t="s">
        <v>979</v>
      </c>
      <c r="D719" s="44" t="s">
        <v>1410</v>
      </c>
      <c r="E719" s="44" t="s">
        <v>1481</v>
      </c>
      <c r="F719" s="44"/>
      <c r="G719" s="44" t="s">
        <v>1466</v>
      </c>
      <c r="H719" s="44" t="s">
        <v>5515</v>
      </c>
      <c r="I719" s="46" t="s">
        <v>5516</v>
      </c>
      <c r="J719" s="46" t="s">
        <v>5517</v>
      </c>
      <c r="K719" s="46" t="s">
        <v>1484</v>
      </c>
      <c r="L719" s="46" t="s">
        <v>1504</v>
      </c>
      <c r="M719" s="46" t="s">
        <v>5518</v>
      </c>
      <c r="N719" s="46" t="s">
        <v>1525</v>
      </c>
      <c r="O719" s="44" t="s">
        <v>5519</v>
      </c>
      <c r="P719" s="44" t="s">
        <v>5520</v>
      </c>
      <c r="Q719" s="44" t="s">
        <v>1463</v>
      </c>
      <c r="R719" s="44" t="s">
        <v>1463</v>
      </c>
      <c r="S719" s="43"/>
      <c r="T719" s="51">
        <v>45631</v>
      </c>
    </row>
    <row r="720" spans="1:20" ht="26.45">
      <c r="A720" s="47" t="s">
        <v>299</v>
      </c>
      <c r="B720" s="47" t="s">
        <v>5521</v>
      </c>
      <c r="C720" s="48" t="s">
        <v>980</v>
      </c>
      <c r="D720" s="47" t="s">
        <v>1419</v>
      </c>
      <c r="E720" s="47" t="s">
        <v>1481</v>
      </c>
      <c r="F720" s="47"/>
      <c r="G720" s="47" t="s">
        <v>1466</v>
      </c>
      <c r="H720" s="47" t="s">
        <v>5522</v>
      </c>
      <c r="I720" s="50" t="s">
        <v>980</v>
      </c>
      <c r="J720" s="50" t="s">
        <v>5523</v>
      </c>
      <c r="K720" s="50" t="s">
        <v>1727</v>
      </c>
      <c r="L720" s="50" t="s">
        <v>1504</v>
      </c>
      <c r="M720" s="50" t="s">
        <v>5524</v>
      </c>
      <c r="N720" s="50" t="s">
        <v>1729</v>
      </c>
      <c r="O720" s="47" t="s">
        <v>5525</v>
      </c>
      <c r="P720" s="47" t="s">
        <v>5526</v>
      </c>
      <c r="Q720" s="47" t="s">
        <v>1463</v>
      </c>
      <c r="R720" s="47" t="s">
        <v>1463</v>
      </c>
      <c r="S720" s="43"/>
      <c r="T720" s="49">
        <v>45631</v>
      </c>
    </row>
    <row r="721" spans="1:20" ht="26.45">
      <c r="A721" s="44" t="s">
        <v>300</v>
      </c>
      <c r="B721" s="44" t="s">
        <v>5527</v>
      </c>
      <c r="C721" s="45" t="s">
        <v>981</v>
      </c>
      <c r="D721" s="44" t="s">
        <v>1419</v>
      </c>
      <c r="E721" s="44" t="s">
        <v>1481</v>
      </c>
      <c r="F721" s="44"/>
      <c r="G721" s="44" t="s">
        <v>1466</v>
      </c>
      <c r="H721" s="44" t="s">
        <v>5528</v>
      </c>
      <c r="I721" s="46" t="s">
        <v>5529</v>
      </c>
      <c r="J721" s="46" t="s">
        <v>5530</v>
      </c>
      <c r="K721" s="46" t="s">
        <v>1493</v>
      </c>
      <c r="L721" s="46" t="s">
        <v>1504</v>
      </c>
      <c r="M721" s="46" t="s">
        <v>5531</v>
      </c>
      <c r="N721" s="46" t="s">
        <v>1629</v>
      </c>
      <c r="O721" s="44" t="s">
        <v>5532</v>
      </c>
      <c r="P721" s="44" t="s">
        <v>5533</v>
      </c>
      <c r="Q721" s="44" t="s">
        <v>1463</v>
      </c>
      <c r="R721" s="44" t="s">
        <v>1463</v>
      </c>
      <c r="S721" s="43"/>
      <c r="T721" s="51">
        <v>45638</v>
      </c>
    </row>
    <row r="722" spans="1:20" ht="26.45">
      <c r="A722" s="47" t="s">
        <v>301</v>
      </c>
      <c r="B722" s="47" t="s">
        <v>5534</v>
      </c>
      <c r="C722" s="48" t="s">
        <v>982</v>
      </c>
      <c r="D722" s="47" t="s">
        <v>1410</v>
      </c>
      <c r="E722" s="47" t="s">
        <v>1481</v>
      </c>
      <c r="F722" s="47"/>
      <c r="G722" s="47" t="s">
        <v>1466</v>
      </c>
      <c r="H722" s="47" t="s">
        <v>5535</v>
      </c>
      <c r="I722" s="50" t="s">
        <v>982</v>
      </c>
      <c r="J722" s="50" t="s">
        <v>5536</v>
      </c>
      <c r="K722" s="50" t="s">
        <v>1932</v>
      </c>
      <c r="L722" s="50" t="s">
        <v>1504</v>
      </c>
      <c r="M722" s="50" t="s">
        <v>5537</v>
      </c>
      <c r="N722" s="50" t="s">
        <v>1476</v>
      </c>
      <c r="O722" s="47" t="s">
        <v>5538</v>
      </c>
      <c r="P722" s="47" t="s">
        <v>5539</v>
      </c>
      <c r="Q722" s="47" t="s">
        <v>1463</v>
      </c>
      <c r="R722" s="47" t="s">
        <v>1463</v>
      </c>
      <c r="S722" s="43"/>
      <c r="T722" s="49">
        <v>45637</v>
      </c>
    </row>
    <row r="723" spans="1:20" ht="26.45">
      <c r="A723" s="44" t="s">
        <v>302</v>
      </c>
      <c r="B723" s="44" t="s">
        <v>5540</v>
      </c>
      <c r="C723" s="45" t="s">
        <v>983</v>
      </c>
      <c r="D723" s="44" t="s">
        <v>1419</v>
      </c>
      <c r="E723" s="44" t="s">
        <v>1481</v>
      </c>
      <c r="F723" s="44"/>
      <c r="G723" s="44" t="s">
        <v>1466</v>
      </c>
      <c r="H723" s="44" t="s">
        <v>5541</v>
      </c>
      <c r="I723" s="46" t="s">
        <v>983</v>
      </c>
      <c r="J723" s="46" t="s">
        <v>5542</v>
      </c>
      <c r="K723" s="46" t="s">
        <v>3769</v>
      </c>
      <c r="L723" s="46" t="s">
        <v>1504</v>
      </c>
      <c r="M723" s="46" t="s">
        <v>5543</v>
      </c>
      <c r="N723" s="46" t="s">
        <v>1516</v>
      </c>
      <c r="O723" s="44" t="s">
        <v>5544</v>
      </c>
      <c r="P723" s="44" t="s">
        <v>5545</v>
      </c>
      <c r="Q723" s="44" t="s">
        <v>1463</v>
      </c>
      <c r="R723" s="44" t="s">
        <v>1463</v>
      </c>
      <c r="S723" s="43"/>
      <c r="T723" s="51">
        <v>45637</v>
      </c>
    </row>
    <row r="724" spans="1:20" ht="26.45">
      <c r="A724" s="47" t="s">
        <v>303</v>
      </c>
      <c r="B724" s="47" t="s">
        <v>5546</v>
      </c>
      <c r="C724" s="48" t="s">
        <v>984</v>
      </c>
      <c r="D724" s="47" t="s">
        <v>1419</v>
      </c>
      <c r="E724" s="47" t="s">
        <v>1481</v>
      </c>
      <c r="F724" s="47"/>
      <c r="G724" s="47" t="s">
        <v>1466</v>
      </c>
      <c r="H724" s="47" t="s">
        <v>5547</v>
      </c>
      <c r="I724" s="50" t="s">
        <v>984</v>
      </c>
      <c r="J724" s="50" t="s">
        <v>5548</v>
      </c>
      <c r="K724" s="50" t="s">
        <v>3769</v>
      </c>
      <c r="L724" s="50" t="s">
        <v>1504</v>
      </c>
      <c r="M724" s="50" t="s">
        <v>5549</v>
      </c>
      <c r="N724" s="50" t="s">
        <v>1516</v>
      </c>
      <c r="O724" s="47" t="s">
        <v>5550</v>
      </c>
      <c r="P724" s="47" t="s">
        <v>5551</v>
      </c>
      <c r="Q724" s="47" t="s">
        <v>1463</v>
      </c>
      <c r="R724" s="47" t="s">
        <v>1463</v>
      </c>
      <c r="S724" s="43"/>
      <c r="T724" s="49">
        <v>45631</v>
      </c>
    </row>
    <row r="725" spans="1:20" ht="26.45">
      <c r="A725" s="44" t="s">
        <v>304</v>
      </c>
      <c r="B725" s="44" t="s">
        <v>5552</v>
      </c>
      <c r="C725" s="45" t="s">
        <v>985</v>
      </c>
      <c r="D725" s="44" t="s">
        <v>1410</v>
      </c>
      <c r="E725" s="44" t="s">
        <v>1481</v>
      </c>
      <c r="F725" s="44"/>
      <c r="G725" s="44" t="s">
        <v>1466</v>
      </c>
      <c r="H725" s="44" t="s">
        <v>5553</v>
      </c>
      <c r="I725" s="46" t="s">
        <v>5554</v>
      </c>
      <c r="J725" s="46" t="s">
        <v>5555</v>
      </c>
      <c r="K725" s="46" t="s">
        <v>1975</v>
      </c>
      <c r="L725" s="46" t="s">
        <v>1504</v>
      </c>
      <c r="M725" s="46" t="s">
        <v>5556</v>
      </c>
      <c r="N725" s="46" t="s">
        <v>1744</v>
      </c>
      <c r="O725" s="44"/>
      <c r="P725" s="44" t="s">
        <v>5557</v>
      </c>
      <c r="Q725" s="44" t="s">
        <v>1463</v>
      </c>
      <c r="R725" s="44" t="s">
        <v>1463</v>
      </c>
      <c r="S725" s="43"/>
      <c r="T725" s="51">
        <v>45499</v>
      </c>
    </row>
    <row r="726" spans="1:20" ht="26.45">
      <c r="A726" s="47" t="s">
        <v>305</v>
      </c>
      <c r="B726" s="47" t="s">
        <v>5558</v>
      </c>
      <c r="C726" s="48" t="s">
        <v>986</v>
      </c>
      <c r="D726" s="47" t="s">
        <v>1419</v>
      </c>
      <c r="E726" s="47" t="s">
        <v>1481</v>
      </c>
      <c r="F726" s="47"/>
      <c r="G726" s="47" t="s">
        <v>1466</v>
      </c>
      <c r="H726" s="47" t="s">
        <v>5559</v>
      </c>
      <c r="I726" s="50" t="s">
        <v>5560</v>
      </c>
      <c r="J726" s="50" t="s">
        <v>5561</v>
      </c>
      <c r="K726" s="50" t="s">
        <v>1484</v>
      </c>
      <c r="L726" s="50" t="s">
        <v>1504</v>
      </c>
      <c r="M726" s="50" t="s">
        <v>5562</v>
      </c>
      <c r="N726" s="50" t="s">
        <v>1531</v>
      </c>
      <c r="O726" s="47" t="s">
        <v>5563</v>
      </c>
      <c r="P726" s="47" t="s">
        <v>5564</v>
      </c>
      <c r="Q726" s="47" t="s">
        <v>1463</v>
      </c>
      <c r="R726" s="47" t="s">
        <v>1463</v>
      </c>
      <c r="S726" s="43"/>
      <c r="T726" s="49">
        <v>45326</v>
      </c>
    </row>
    <row r="727" spans="1:20">
      <c r="A727" s="44" t="s">
        <v>5565</v>
      </c>
      <c r="B727" s="44" t="s">
        <v>5566</v>
      </c>
      <c r="C727" s="45" t="s">
        <v>5567</v>
      </c>
      <c r="D727" s="44" t="s">
        <v>1419</v>
      </c>
      <c r="E727" s="44" t="s">
        <v>1481</v>
      </c>
      <c r="F727" s="44"/>
      <c r="G727" s="44" t="s">
        <v>1466</v>
      </c>
      <c r="H727" s="44" t="s">
        <v>5568</v>
      </c>
      <c r="I727" s="46" t="s">
        <v>5567</v>
      </c>
      <c r="J727" s="46"/>
      <c r="K727" s="46"/>
      <c r="L727" s="46"/>
      <c r="M727" s="46"/>
      <c r="N727" s="46"/>
      <c r="O727" s="44" t="s">
        <v>5569</v>
      </c>
      <c r="P727" s="44"/>
      <c r="Q727" s="44" t="s">
        <v>1463</v>
      </c>
      <c r="R727" s="44" t="s">
        <v>1463</v>
      </c>
      <c r="S727" s="43"/>
      <c r="T727" s="44"/>
    </row>
    <row r="728" spans="1:20" ht="26.45">
      <c r="A728" s="47" t="s">
        <v>306</v>
      </c>
      <c r="B728" s="47" t="s">
        <v>5570</v>
      </c>
      <c r="C728" s="48" t="s">
        <v>987</v>
      </c>
      <c r="D728" s="47" t="s">
        <v>1419</v>
      </c>
      <c r="E728" s="47" t="s">
        <v>1481</v>
      </c>
      <c r="F728" s="47"/>
      <c r="G728" s="47" t="s">
        <v>1687</v>
      </c>
      <c r="H728" s="47" t="s">
        <v>5571</v>
      </c>
      <c r="I728" s="50" t="s">
        <v>5572</v>
      </c>
      <c r="J728" s="50" t="s">
        <v>5573</v>
      </c>
      <c r="K728" s="50" t="s">
        <v>2778</v>
      </c>
      <c r="L728" s="50" t="s">
        <v>1504</v>
      </c>
      <c r="M728" s="50" t="s">
        <v>5574</v>
      </c>
      <c r="N728" s="50" t="s">
        <v>1629</v>
      </c>
      <c r="O728" s="47" t="s">
        <v>5575</v>
      </c>
      <c r="P728" s="47" t="s">
        <v>5576</v>
      </c>
      <c r="Q728" s="47" t="s">
        <v>1695</v>
      </c>
      <c r="R728" s="47" t="s">
        <v>1463</v>
      </c>
      <c r="S728" s="43"/>
      <c r="T728" s="49">
        <v>45342</v>
      </c>
    </row>
    <row r="729" spans="1:20" ht="26.45">
      <c r="A729" s="44" t="s">
        <v>988</v>
      </c>
      <c r="B729" s="44" t="s">
        <v>5577</v>
      </c>
      <c r="C729" s="45" t="s">
        <v>989</v>
      </c>
      <c r="D729" s="44" t="s">
        <v>1434</v>
      </c>
      <c r="E729" s="44" t="s">
        <v>1481</v>
      </c>
      <c r="F729" s="44"/>
      <c r="G729" s="44" t="s">
        <v>1466</v>
      </c>
      <c r="H729" s="44" t="s">
        <v>5578</v>
      </c>
      <c r="I729" s="46" t="s">
        <v>5579</v>
      </c>
      <c r="J729" s="46" t="s">
        <v>5580</v>
      </c>
      <c r="K729" s="46" t="s">
        <v>3712</v>
      </c>
      <c r="L729" s="46" t="s">
        <v>1504</v>
      </c>
      <c r="M729" s="46" t="s">
        <v>5581</v>
      </c>
      <c r="N729" s="46" t="s">
        <v>1641</v>
      </c>
      <c r="O729" s="44" t="s">
        <v>5582</v>
      </c>
      <c r="P729" s="44" t="s">
        <v>5583</v>
      </c>
      <c r="Q729" s="44" t="s">
        <v>1463</v>
      </c>
      <c r="R729" s="44" t="s">
        <v>1463</v>
      </c>
      <c r="S729" s="43"/>
      <c r="T729" s="51">
        <v>45321</v>
      </c>
    </row>
    <row r="730" spans="1:20" ht="26.45">
      <c r="A730" s="47" t="s">
        <v>307</v>
      </c>
      <c r="B730" s="47" t="s">
        <v>5584</v>
      </c>
      <c r="C730" s="48" t="s">
        <v>990</v>
      </c>
      <c r="D730" s="47" t="s">
        <v>1420</v>
      </c>
      <c r="E730" s="47" t="s">
        <v>1481</v>
      </c>
      <c r="F730" s="47"/>
      <c r="G730" s="47" t="s">
        <v>1466</v>
      </c>
      <c r="H730" s="47" t="s">
        <v>5585</v>
      </c>
      <c r="I730" s="50" t="s">
        <v>990</v>
      </c>
      <c r="J730" s="50" t="s">
        <v>5586</v>
      </c>
      <c r="K730" s="50" t="s">
        <v>1473</v>
      </c>
      <c r="L730" s="50" t="s">
        <v>1504</v>
      </c>
      <c r="M730" s="50" t="s">
        <v>5587</v>
      </c>
      <c r="N730" s="50" t="s">
        <v>1531</v>
      </c>
      <c r="O730" s="47" t="s">
        <v>5588</v>
      </c>
      <c r="P730" s="47" t="s">
        <v>5589</v>
      </c>
      <c r="Q730" s="47" t="s">
        <v>1463</v>
      </c>
      <c r="R730" s="47" t="s">
        <v>1463</v>
      </c>
      <c r="S730" s="43"/>
      <c r="T730" s="49">
        <v>45670</v>
      </c>
    </row>
    <row r="731" spans="1:20" ht="26.45">
      <c r="A731" s="44" t="s">
        <v>308</v>
      </c>
      <c r="B731" s="44" t="s">
        <v>5590</v>
      </c>
      <c r="C731" s="45" t="s">
        <v>991</v>
      </c>
      <c r="D731" s="44" t="s">
        <v>1419</v>
      </c>
      <c r="E731" s="44" t="s">
        <v>1481</v>
      </c>
      <c r="F731" s="44"/>
      <c r="G731" s="44" t="s">
        <v>1466</v>
      </c>
      <c r="H731" s="44" t="s">
        <v>5591</v>
      </c>
      <c r="I731" s="46" t="s">
        <v>5592</v>
      </c>
      <c r="J731" s="46" t="s">
        <v>5593</v>
      </c>
      <c r="K731" s="46" t="s">
        <v>1493</v>
      </c>
      <c r="L731" s="46" t="s">
        <v>1474</v>
      </c>
      <c r="M731" s="46" t="s">
        <v>5594</v>
      </c>
      <c r="N731" s="46" t="s">
        <v>1629</v>
      </c>
      <c r="O731" s="44" t="s">
        <v>5595</v>
      </c>
      <c r="P731" s="44" t="s">
        <v>5596</v>
      </c>
      <c r="Q731" s="44" t="s">
        <v>1463</v>
      </c>
      <c r="R731" s="44" t="s">
        <v>1463</v>
      </c>
      <c r="S731" s="43"/>
      <c r="T731" s="51">
        <v>45488</v>
      </c>
    </row>
    <row r="732" spans="1:20">
      <c r="A732" s="47" t="s">
        <v>5597</v>
      </c>
      <c r="B732" s="47" t="s">
        <v>5598</v>
      </c>
      <c r="C732" s="48" t="s">
        <v>5599</v>
      </c>
      <c r="D732" s="47" t="s">
        <v>1419</v>
      </c>
      <c r="E732" s="47" t="s">
        <v>1460</v>
      </c>
      <c r="F732" s="49">
        <v>43018.805764965298</v>
      </c>
      <c r="G732" s="47" t="s">
        <v>1466</v>
      </c>
      <c r="H732" s="47" t="s">
        <v>5600</v>
      </c>
      <c r="I732" s="50" t="s">
        <v>5599</v>
      </c>
      <c r="J732" s="50" t="s">
        <v>5601</v>
      </c>
      <c r="K732" s="50" t="s">
        <v>1523</v>
      </c>
      <c r="L732" s="50" t="s">
        <v>1504</v>
      </c>
      <c r="M732" s="50" t="s">
        <v>5602</v>
      </c>
      <c r="N732" s="50" t="s">
        <v>1525</v>
      </c>
      <c r="O732" s="47" t="s">
        <v>5603</v>
      </c>
      <c r="P732" s="47"/>
      <c r="Q732" s="47" t="s">
        <v>1463</v>
      </c>
      <c r="R732" s="47" t="s">
        <v>1463</v>
      </c>
      <c r="S732" s="43"/>
      <c r="T732" s="49">
        <v>43354</v>
      </c>
    </row>
    <row r="733" spans="1:20">
      <c r="A733" s="44" t="s">
        <v>5604</v>
      </c>
      <c r="B733" s="44" t="s">
        <v>5605</v>
      </c>
      <c r="C733" s="45" t="s">
        <v>5606</v>
      </c>
      <c r="D733" s="44" t="s">
        <v>1414</v>
      </c>
      <c r="E733" s="44" t="s">
        <v>1460</v>
      </c>
      <c r="F733" s="51">
        <v>43419.680570023098</v>
      </c>
      <c r="G733" s="44" t="s">
        <v>1466</v>
      </c>
      <c r="H733" s="44" t="s">
        <v>5607</v>
      </c>
      <c r="I733" s="46" t="s">
        <v>5606</v>
      </c>
      <c r="J733" s="46" t="s">
        <v>5608</v>
      </c>
      <c r="K733" s="46" t="s">
        <v>1484</v>
      </c>
      <c r="L733" s="46" t="s">
        <v>1504</v>
      </c>
      <c r="M733" s="46" t="s">
        <v>5609</v>
      </c>
      <c r="N733" s="46" t="s">
        <v>1531</v>
      </c>
      <c r="O733" s="44" t="s">
        <v>5610</v>
      </c>
      <c r="P733" s="44"/>
      <c r="Q733" s="44" t="s">
        <v>1463</v>
      </c>
      <c r="R733" s="44" t="s">
        <v>1463</v>
      </c>
      <c r="S733" s="43"/>
      <c r="T733" s="51">
        <v>43699</v>
      </c>
    </row>
    <row r="734" spans="1:20">
      <c r="A734" s="47" t="s">
        <v>5611</v>
      </c>
      <c r="B734" s="47" t="s">
        <v>5612</v>
      </c>
      <c r="C734" s="48" t="s">
        <v>5606</v>
      </c>
      <c r="D734" s="47" t="s">
        <v>1414</v>
      </c>
      <c r="E734" s="47" t="s">
        <v>1460</v>
      </c>
      <c r="F734" s="49">
        <v>43419.681074733802</v>
      </c>
      <c r="G734" s="47" t="s">
        <v>1466</v>
      </c>
      <c r="H734" s="47" t="s">
        <v>5613</v>
      </c>
      <c r="I734" s="50" t="s">
        <v>5606</v>
      </c>
      <c r="J734" s="50" t="s">
        <v>5614</v>
      </c>
      <c r="K734" s="50" t="s">
        <v>1484</v>
      </c>
      <c r="L734" s="50" t="s">
        <v>1504</v>
      </c>
      <c r="M734" s="50" t="s">
        <v>5609</v>
      </c>
      <c r="N734" s="50" t="s">
        <v>1531</v>
      </c>
      <c r="O734" s="47" t="s">
        <v>5610</v>
      </c>
      <c r="P734" s="47"/>
      <c r="Q734" s="47" t="s">
        <v>1463</v>
      </c>
      <c r="R734" s="47" t="s">
        <v>1463</v>
      </c>
      <c r="S734" s="43"/>
      <c r="T734" s="49">
        <v>43699</v>
      </c>
    </row>
    <row r="735" spans="1:20" ht="26.45">
      <c r="A735" s="44" t="s">
        <v>5615</v>
      </c>
      <c r="B735" s="44" t="s">
        <v>5616</v>
      </c>
      <c r="C735" s="45" t="s">
        <v>5617</v>
      </c>
      <c r="D735" s="44" t="s">
        <v>1419</v>
      </c>
      <c r="E735" s="44" t="s">
        <v>1481</v>
      </c>
      <c r="F735" s="44"/>
      <c r="G735" s="44" t="s">
        <v>1490</v>
      </c>
      <c r="H735" s="44" t="s">
        <v>5618</v>
      </c>
      <c r="I735" s="46" t="s">
        <v>5617</v>
      </c>
      <c r="J735" s="46" t="s">
        <v>5619</v>
      </c>
      <c r="K735" s="46" t="s">
        <v>2044</v>
      </c>
      <c r="L735" s="46" t="s">
        <v>1504</v>
      </c>
      <c r="M735" s="46" t="s">
        <v>5620</v>
      </c>
      <c r="N735" s="46"/>
      <c r="O735" s="44"/>
      <c r="P735" s="44"/>
      <c r="Q735" s="44" t="s">
        <v>1463</v>
      </c>
      <c r="R735" s="44" t="s">
        <v>1463</v>
      </c>
      <c r="S735" s="43"/>
      <c r="T735" s="44"/>
    </row>
    <row r="736" spans="1:20" ht="26.45">
      <c r="A736" s="47" t="s">
        <v>5621</v>
      </c>
      <c r="B736" s="47" t="s">
        <v>5622</v>
      </c>
      <c r="C736" s="48" t="s">
        <v>5623</v>
      </c>
      <c r="D736" s="47" t="s">
        <v>1410</v>
      </c>
      <c r="E736" s="47" t="s">
        <v>1481</v>
      </c>
      <c r="F736" s="47"/>
      <c r="G736" s="47" t="s">
        <v>1490</v>
      </c>
      <c r="H736" s="47" t="s">
        <v>5624</v>
      </c>
      <c r="I736" s="50" t="s">
        <v>5623</v>
      </c>
      <c r="J736" s="50" t="s">
        <v>5625</v>
      </c>
      <c r="K736" s="50" t="s">
        <v>1764</v>
      </c>
      <c r="L736" s="50" t="s">
        <v>1504</v>
      </c>
      <c r="M736" s="50" t="s">
        <v>5626</v>
      </c>
      <c r="N736" s="50" t="s">
        <v>1531</v>
      </c>
      <c r="O736" s="47"/>
      <c r="P736" s="47" t="s">
        <v>5627</v>
      </c>
      <c r="Q736" s="47" t="s">
        <v>1463</v>
      </c>
      <c r="R736" s="47" t="s">
        <v>1463</v>
      </c>
      <c r="S736" s="43"/>
      <c r="T736" s="47"/>
    </row>
    <row r="737" spans="1:20" ht="26.45">
      <c r="A737" s="44" t="s">
        <v>5628</v>
      </c>
      <c r="B737" s="44" t="s">
        <v>5629</v>
      </c>
      <c r="C737" s="45" t="s">
        <v>5630</v>
      </c>
      <c r="D737" s="44" t="s">
        <v>1419</v>
      </c>
      <c r="E737" s="44" t="s">
        <v>1481</v>
      </c>
      <c r="F737" s="44"/>
      <c r="G737" s="44" t="s">
        <v>1490</v>
      </c>
      <c r="H737" s="44" t="s">
        <v>5631</v>
      </c>
      <c r="I737" s="46" t="s">
        <v>5632</v>
      </c>
      <c r="J737" s="46" t="s">
        <v>5633</v>
      </c>
      <c r="K737" s="46" t="s">
        <v>1493</v>
      </c>
      <c r="L737" s="46" t="s">
        <v>1504</v>
      </c>
      <c r="M737" s="46" t="s">
        <v>5634</v>
      </c>
      <c r="N737" s="46" t="s">
        <v>1516</v>
      </c>
      <c r="O737" s="44" t="s">
        <v>5635</v>
      </c>
      <c r="P737" s="44" t="s">
        <v>5636</v>
      </c>
      <c r="Q737" s="44" t="s">
        <v>1463</v>
      </c>
      <c r="R737" s="44" t="s">
        <v>1463</v>
      </c>
      <c r="S737" s="43"/>
      <c r="T737" s="51">
        <v>45426</v>
      </c>
    </row>
    <row r="738" spans="1:20" ht="26.45">
      <c r="A738" s="47" t="s">
        <v>992</v>
      </c>
      <c r="B738" s="47" t="s">
        <v>5637</v>
      </c>
      <c r="C738" s="48" t="s">
        <v>993</v>
      </c>
      <c r="D738" s="47" t="s">
        <v>1419</v>
      </c>
      <c r="E738" s="47" t="s">
        <v>1481</v>
      </c>
      <c r="F738" s="47"/>
      <c r="G738" s="47" t="s">
        <v>1466</v>
      </c>
      <c r="H738" s="47" t="s">
        <v>5638</v>
      </c>
      <c r="I738" s="50" t="s">
        <v>993</v>
      </c>
      <c r="J738" s="50" t="s">
        <v>5639</v>
      </c>
      <c r="K738" s="50" t="s">
        <v>1975</v>
      </c>
      <c r="L738" s="50" t="s">
        <v>1474</v>
      </c>
      <c r="M738" s="50" t="s">
        <v>2074</v>
      </c>
      <c r="N738" s="50" t="s">
        <v>1744</v>
      </c>
      <c r="O738" s="47" t="s">
        <v>5640</v>
      </c>
      <c r="P738" s="47" t="s">
        <v>5641</v>
      </c>
      <c r="Q738" s="47" t="s">
        <v>1463</v>
      </c>
      <c r="R738" s="47" t="s">
        <v>1463</v>
      </c>
      <c r="S738" s="43"/>
      <c r="T738" s="49">
        <v>45695</v>
      </c>
    </row>
    <row r="739" spans="1:20" ht="26.45">
      <c r="A739" s="44" t="s">
        <v>309</v>
      </c>
      <c r="B739" s="44" t="s">
        <v>5642</v>
      </c>
      <c r="C739" s="45" t="s">
        <v>994</v>
      </c>
      <c r="D739" s="44" t="s">
        <v>1419</v>
      </c>
      <c r="E739" s="44" t="s">
        <v>1481</v>
      </c>
      <c r="F739" s="44"/>
      <c r="G739" s="44" t="s">
        <v>1687</v>
      </c>
      <c r="H739" s="44" t="s">
        <v>5643</v>
      </c>
      <c r="I739" s="46" t="s">
        <v>5644</v>
      </c>
      <c r="J739" s="46" t="s">
        <v>5645</v>
      </c>
      <c r="K739" s="46" t="s">
        <v>3567</v>
      </c>
      <c r="L739" s="46" t="s">
        <v>1504</v>
      </c>
      <c r="M739" s="46" t="s">
        <v>5646</v>
      </c>
      <c r="N739" s="46" t="s">
        <v>1629</v>
      </c>
      <c r="O739" s="44" t="s">
        <v>5647</v>
      </c>
      <c r="P739" s="44" t="s">
        <v>5648</v>
      </c>
      <c r="Q739" s="44" t="s">
        <v>1695</v>
      </c>
      <c r="R739" s="44" t="s">
        <v>1463</v>
      </c>
      <c r="S739" s="43"/>
      <c r="T739" s="51">
        <v>45610</v>
      </c>
    </row>
    <row r="740" spans="1:20" ht="26.45">
      <c r="A740" s="47" t="s">
        <v>5649</v>
      </c>
      <c r="B740" s="47" t="s">
        <v>5650</v>
      </c>
      <c r="C740" s="48" t="s">
        <v>5651</v>
      </c>
      <c r="D740" s="47" t="s">
        <v>1419</v>
      </c>
      <c r="E740" s="47" t="s">
        <v>1481</v>
      </c>
      <c r="F740" s="47"/>
      <c r="G740" s="47" t="s">
        <v>1461</v>
      </c>
      <c r="H740" s="47" t="s">
        <v>5652</v>
      </c>
      <c r="I740" s="50" t="s">
        <v>5653</v>
      </c>
      <c r="J740" s="50" t="s">
        <v>5654</v>
      </c>
      <c r="K740" s="50" t="s">
        <v>1493</v>
      </c>
      <c r="L740" s="50" t="s">
        <v>1474</v>
      </c>
      <c r="M740" s="50" t="s">
        <v>5655</v>
      </c>
      <c r="N740" s="50" t="s">
        <v>1641</v>
      </c>
      <c r="O740" s="47" t="s">
        <v>5656</v>
      </c>
      <c r="P740" s="47" t="s">
        <v>5657</v>
      </c>
      <c r="Q740" s="47" t="s">
        <v>1463</v>
      </c>
      <c r="R740" s="47" t="s">
        <v>1463</v>
      </c>
      <c r="S740" s="43"/>
      <c r="T740" s="49">
        <v>45638</v>
      </c>
    </row>
    <row r="741" spans="1:20" ht="26.45">
      <c r="A741" s="44" t="s">
        <v>5658</v>
      </c>
      <c r="B741" s="44" t="s">
        <v>3776</v>
      </c>
      <c r="C741" s="45" t="s">
        <v>5659</v>
      </c>
      <c r="D741" s="44" t="s">
        <v>1436</v>
      </c>
      <c r="E741" s="44" t="s">
        <v>1481</v>
      </c>
      <c r="F741" s="44"/>
      <c r="G741" s="44" t="s">
        <v>1461</v>
      </c>
      <c r="H741" s="44" t="s">
        <v>5660</v>
      </c>
      <c r="I741" s="46" t="s">
        <v>5661</v>
      </c>
      <c r="J741" s="46" t="s">
        <v>5662</v>
      </c>
      <c r="K741" s="46" t="s">
        <v>5095</v>
      </c>
      <c r="L741" s="46" t="s">
        <v>1504</v>
      </c>
      <c r="M741" s="46" t="s">
        <v>5663</v>
      </c>
      <c r="N741" s="46" t="s">
        <v>1629</v>
      </c>
      <c r="O741" s="44" t="s">
        <v>5664</v>
      </c>
      <c r="P741" s="44"/>
      <c r="Q741" s="44" t="s">
        <v>1463</v>
      </c>
      <c r="R741" s="44" t="s">
        <v>1463</v>
      </c>
      <c r="S741" s="43"/>
      <c r="T741" s="51">
        <v>44004</v>
      </c>
    </row>
    <row r="742" spans="1:20">
      <c r="A742" s="47" t="s">
        <v>5665</v>
      </c>
      <c r="B742" s="47" t="s">
        <v>5666</v>
      </c>
      <c r="C742" s="48" t="s">
        <v>5667</v>
      </c>
      <c r="D742" s="47" t="s">
        <v>1414</v>
      </c>
      <c r="E742" s="47" t="s">
        <v>1481</v>
      </c>
      <c r="F742" s="47"/>
      <c r="G742" s="47" t="s">
        <v>1461</v>
      </c>
      <c r="H742" s="47"/>
      <c r="I742" s="50"/>
      <c r="J742" s="50"/>
      <c r="K742" s="50"/>
      <c r="L742" s="50"/>
      <c r="M742" s="50"/>
      <c r="N742" s="50"/>
      <c r="O742" s="47"/>
      <c r="P742" s="47"/>
      <c r="Q742" s="47" t="s">
        <v>1463</v>
      </c>
      <c r="R742" s="47" t="s">
        <v>1463</v>
      </c>
      <c r="S742" s="43"/>
      <c r="T742" s="47"/>
    </row>
    <row r="743" spans="1:20" ht="26.45">
      <c r="A743" s="44" t="s">
        <v>5668</v>
      </c>
      <c r="B743" s="44" t="s">
        <v>5669</v>
      </c>
      <c r="C743" s="45" t="s">
        <v>5670</v>
      </c>
      <c r="D743" s="44" t="s">
        <v>1419</v>
      </c>
      <c r="E743" s="44" t="s">
        <v>1481</v>
      </c>
      <c r="F743" s="44"/>
      <c r="G743" s="44" t="s">
        <v>1490</v>
      </c>
      <c r="H743" s="44" t="s">
        <v>5671</v>
      </c>
      <c r="I743" s="46" t="s">
        <v>5672</v>
      </c>
      <c r="J743" s="46" t="s">
        <v>5673</v>
      </c>
      <c r="K743" s="46" t="s">
        <v>1503</v>
      </c>
      <c r="L743" s="46" t="s">
        <v>1504</v>
      </c>
      <c r="M743" s="46" t="s">
        <v>5674</v>
      </c>
      <c r="N743" s="46" t="s">
        <v>1744</v>
      </c>
      <c r="O743" s="44"/>
      <c r="P743" s="44"/>
      <c r="Q743" s="44" t="s">
        <v>1463</v>
      </c>
      <c r="R743" s="44" t="s">
        <v>1463</v>
      </c>
      <c r="S743" s="43"/>
      <c r="T743" s="51">
        <v>45296</v>
      </c>
    </row>
    <row r="744" spans="1:20" ht="26.45">
      <c r="A744" s="47" t="s">
        <v>5675</v>
      </c>
      <c r="B744" s="47" t="s">
        <v>5676</v>
      </c>
      <c r="C744" s="48" t="s">
        <v>5677</v>
      </c>
      <c r="D744" s="47" t="s">
        <v>1419</v>
      </c>
      <c r="E744" s="47" t="s">
        <v>1481</v>
      </c>
      <c r="F744" s="47"/>
      <c r="G744" s="47" t="s">
        <v>1490</v>
      </c>
      <c r="H744" s="47" t="s">
        <v>5678</v>
      </c>
      <c r="I744" s="50" t="s">
        <v>5677</v>
      </c>
      <c r="J744" s="50" t="s">
        <v>5679</v>
      </c>
      <c r="K744" s="50" t="s">
        <v>2061</v>
      </c>
      <c r="L744" s="50" t="s">
        <v>1504</v>
      </c>
      <c r="M744" s="50" t="s">
        <v>5680</v>
      </c>
      <c r="N744" s="50" t="s">
        <v>1525</v>
      </c>
      <c r="O744" s="47" t="s">
        <v>5681</v>
      </c>
      <c r="P744" s="47"/>
      <c r="Q744" s="47" t="s">
        <v>1463</v>
      </c>
      <c r="R744" s="47" t="s">
        <v>1463</v>
      </c>
      <c r="S744" s="43"/>
      <c r="T744" s="49">
        <v>43263</v>
      </c>
    </row>
    <row r="745" spans="1:20" ht="26.45">
      <c r="A745" s="44" t="s">
        <v>310</v>
      </c>
      <c r="B745" s="44" t="s">
        <v>5682</v>
      </c>
      <c r="C745" s="45" t="s">
        <v>995</v>
      </c>
      <c r="D745" s="44" t="s">
        <v>1419</v>
      </c>
      <c r="E745" s="44" t="s">
        <v>1481</v>
      </c>
      <c r="F745" s="44"/>
      <c r="G745" s="44" t="s">
        <v>1466</v>
      </c>
      <c r="H745" s="44" t="s">
        <v>5683</v>
      </c>
      <c r="I745" s="46" t="s">
        <v>995</v>
      </c>
      <c r="J745" s="46" t="s">
        <v>5684</v>
      </c>
      <c r="K745" s="46" t="s">
        <v>2061</v>
      </c>
      <c r="L745" s="46" t="s">
        <v>1504</v>
      </c>
      <c r="M745" s="46" t="s">
        <v>5685</v>
      </c>
      <c r="N745" s="46" t="s">
        <v>1641</v>
      </c>
      <c r="O745" s="44" t="s">
        <v>5686</v>
      </c>
      <c r="P745" s="44" t="s">
        <v>5687</v>
      </c>
      <c r="Q745" s="44" t="s">
        <v>1463</v>
      </c>
      <c r="R745" s="44" t="s">
        <v>1463</v>
      </c>
      <c r="S745" s="43"/>
      <c r="T745" s="51">
        <v>45693</v>
      </c>
    </row>
    <row r="746" spans="1:20" ht="26.45">
      <c r="A746" s="47" t="s">
        <v>5688</v>
      </c>
      <c r="B746" s="47" t="s">
        <v>5689</v>
      </c>
      <c r="C746" s="48" t="s">
        <v>5690</v>
      </c>
      <c r="D746" s="47" t="s">
        <v>1419</v>
      </c>
      <c r="E746" s="47" t="s">
        <v>1481</v>
      </c>
      <c r="F746" s="47"/>
      <c r="G746" s="47" t="s">
        <v>1490</v>
      </c>
      <c r="H746" s="47" t="s">
        <v>5691</v>
      </c>
      <c r="I746" s="50" t="s">
        <v>5690</v>
      </c>
      <c r="J746" s="50" t="s">
        <v>5692</v>
      </c>
      <c r="K746" s="50" t="s">
        <v>1541</v>
      </c>
      <c r="L746" s="50" t="s">
        <v>1504</v>
      </c>
      <c r="M746" s="50" t="s">
        <v>5693</v>
      </c>
      <c r="N746" s="50" t="s">
        <v>1476</v>
      </c>
      <c r="O746" s="47"/>
      <c r="P746" s="47"/>
      <c r="Q746" s="47" t="s">
        <v>1463</v>
      </c>
      <c r="R746" s="47" t="s">
        <v>1463</v>
      </c>
      <c r="S746" s="43"/>
      <c r="T746" s="47"/>
    </row>
    <row r="747" spans="1:20" ht="26.45">
      <c r="A747" s="44" t="s">
        <v>5694</v>
      </c>
      <c r="B747" s="44" t="s">
        <v>5695</v>
      </c>
      <c r="C747" s="45" t="s">
        <v>5696</v>
      </c>
      <c r="D747" s="44" t="s">
        <v>1416</v>
      </c>
      <c r="E747" s="44" t="s">
        <v>1481</v>
      </c>
      <c r="F747" s="44"/>
      <c r="G747" s="44" t="s">
        <v>1490</v>
      </c>
      <c r="H747" s="44" t="s">
        <v>5697</v>
      </c>
      <c r="I747" s="46" t="s">
        <v>5696</v>
      </c>
      <c r="J747" s="46" t="s">
        <v>5698</v>
      </c>
      <c r="K747" s="46" t="s">
        <v>2736</v>
      </c>
      <c r="L747" s="46" t="s">
        <v>1474</v>
      </c>
      <c r="M747" s="46" t="s">
        <v>5699</v>
      </c>
      <c r="N747" s="46" t="s">
        <v>1516</v>
      </c>
      <c r="O747" s="44"/>
      <c r="P747" s="44" t="s">
        <v>5700</v>
      </c>
      <c r="Q747" s="44" t="s">
        <v>1463</v>
      </c>
      <c r="R747" s="44" t="s">
        <v>1463</v>
      </c>
      <c r="S747" s="43"/>
      <c r="T747" s="51">
        <v>45709</v>
      </c>
    </row>
    <row r="748" spans="1:20" ht="26.45">
      <c r="A748" s="47" t="s">
        <v>5701</v>
      </c>
      <c r="B748" s="47" t="s">
        <v>5702</v>
      </c>
      <c r="C748" s="48" t="s">
        <v>5703</v>
      </c>
      <c r="D748" s="47" t="s">
        <v>1432</v>
      </c>
      <c r="E748" s="47" t="s">
        <v>1460</v>
      </c>
      <c r="F748" s="49">
        <v>42550.811139583297</v>
      </c>
      <c r="G748" s="47" t="s">
        <v>1466</v>
      </c>
      <c r="H748" s="47" t="s">
        <v>5704</v>
      </c>
      <c r="I748" s="50" t="s">
        <v>5703</v>
      </c>
      <c r="J748" s="50" t="s">
        <v>5705</v>
      </c>
      <c r="K748" s="50" t="s">
        <v>3721</v>
      </c>
      <c r="L748" s="50" t="s">
        <v>1504</v>
      </c>
      <c r="M748" s="50" t="s">
        <v>5706</v>
      </c>
      <c r="N748" s="50" t="s">
        <v>1641</v>
      </c>
      <c r="O748" s="47" t="s">
        <v>5707</v>
      </c>
      <c r="P748" s="47"/>
      <c r="Q748" s="47" t="s">
        <v>1463</v>
      </c>
      <c r="R748" s="47" t="s">
        <v>1463</v>
      </c>
      <c r="S748" s="43"/>
      <c r="T748" s="49">
        <v>42913</v>
      </c>
    </row>
    <row r="749" spans="1:20" ht="26.45">
      <c r="A749" s="44" t="s">
        <v>311</v>
      </c>
      <c r="B749" s="44" t="s">
        <v>5708</v>
      </c>
      <c r="C749" s="45" t="s">
        <v>996</v>
      </c>
      <c r="D749" s="44" t="s">
        <v>1416</v>
      </c>
      <c r="E749" s="44" t="s">
        <v>1481</v>
      </c>
      <c r="F749" s="44"/>
      <c r="G749" s="44" t="s">
        <v>1687</v>
      </c>
      <c r="H749" s="44" t="s">
        <v>5709</v>
      </c>
      <c r="I749" s="46" t="s">
        <v>5710</v>
      </c>
      <c r="J749" s="46" t="s">
        <v>5711</v>
      </c>
      <c r="K749" s="46" t="s">
        <v>5712</v>
      </c>
      <c r="L749" s="46" t="s">
        <v>1504</v>
      </c>
      <c r="M749" s="46" t="s">
        <v>5713</v>
      </c>
      <c r="N749" s="46" t="s">
        <v>1476</v>
      </c>
      <c r="O749" s="44" t="s">
        <v>5714</v>
      </c>
      <c r="P749" s="44" t="s">
        <v>5715</v>
      </c>
      <c r="Q749" s="44" t="s">
        <v>1695</v>
      </c>
      <c r="R749" s="44" t="s">
        <v>1463</v>
      </c>
      <c r="S749" s="43"/>
      <c r="T749" s="51">
        <v>45328</v>
      </c>
    </row>
    <row r="750" spans="1:20" ht="26.45">
      <c r="A750" s="47" t="s">
        <v>312</v>
      </c>
      <c r="B750" s="47" t="s">
        <v>5716</v>
      </c>
      <c r="C750" s="48" t="s">
        <v>997</v>
      </c>
      <c r="D750" s="47" t="s">
        <v>1419</v>
      </c>
      <c r="E750" s="47" t="s">
        <v>1481</v>
      </c>
      <c r="F750" s="47"/>
      <c r="G750" s="47" t="s">
        <v>1687</v>
      </c>
      <c r="H750" s="47" t="s">
        <v>5717</v>
      </c>
      <c r="I750" s="50" t="s">
        <v>5718</v>
      </c>
      <c r="J750" s="50" t="s">
        <v>5719</v>
      </c>
      <c r="K750" s="50" t="s">
        <v>1691</v>
      </c>
      <c r="L750" s="50" t="s">
        <v>1504</v>
      </c>
      <c r="M750" s="50" t="s">
        <v>5720</v>
      </c>
      <c r="N750" s="50" t="s">
        <v>1495</v>
      </c>
      <c r="O750" s="47" t="s">
        <v>5721</v>
      </c>
      <c r="P750" s="47" t="s">
        <v>5722</v>
      </c>
      <c r="Q750" s="47" t="s">
        <v>1695</v>
      </c>
      <c r="R750" s="47" t="s">
        <v>1463</v>
      </c>
      <c r="S750" s="43"/>
      <c r="T750" s="49">
        <v>45593</v>
      </c>
    </row>
    <row r="751" spans="1:20">
      <c r="A751" s="44" t="s">
        <v>5723</v>
      </c>
      <c r="B751" s="44" t="s">
        <v>5724</v>
      </c>
      <c r="C751" s="45" t="s">
        <v>5725</v>
      </c>
      <c r="D751" s="44" t="s">
        <v>1428</v>
      </c>
      <c r="E751" s="44" t="s">
        <v>1481</v>
      </c>
      <c r="F751" s="44"/>
      <c r="G751" s="44" t="s">
        <v>1461</v>
      </c>
      <c r="H751" s="44"/>
      <c r="I751" s="46"/>
      <c r="J751" s="46"/>
      <c r="K751" s="46"/>
      <c r="L751" s="46"/>
      <c r="M751" s="46"/>
      <c r="N751" s="46"/>
      <c r="O751" s="44"/>
      <c r="P751" s="44"/>
      <c r="Q751" s="44" t="s">
        <v>1463</v>
      </c>
      <c r="R751" s="44" t="s">
        <v>1463</v>
      </c>
      <c r="S751" s="43"/>
      <c r="T751" s="44"/>
    </row>
    <row r="752" spans="1:20">
      <c r="A752" s="47" t="s">
        <v>5726</v>
      </c>
      <c r="B752" s="47" t="s">
        <v>3974</v>
      </c>
      <c r="C752" s="48" t="s">
        <v>5727</v>
      </c>
      <c r="D752" s="47" t="s">
        <v>1436</v>
      </c>
      <c r="E752" s="47" t="s">
        <v>1481</v>
      </c>
      <c r="F752" s="47"/>
      <c r="G752" s="47" t="s">
        <v>1461</v>
      </c>
      <c r="H752" s="47" t="s">
        <v>5728</v>
      </c>
      <c r="I752" s="50" t="s">
        <v>5727</v>
      </c>
      <c r="J752" s="50"/>
      <c r="K752" s="50"/>
      <c r="L752" s="50"/>
      <c r="M752" s="50"/>
      <c r="N752" s="50"/>
      <c r="O752" s="47" t="s">
        <v>5729</v>
      </c>
      <c r="P752" s="47"/>
      <c r="Q752" s="47" t="s">
        <v>1463</v>
      </c>
      <c r="R752" s="47" t="s">
        <v>1463</v>
      </c>
      <c r="S752" s="43"/>
      <c r="T752" s="47"/>
    </row>
    <row r="753" spans="1:20">
      <c r="A753" s="44" t="s">
        <v>5730</v>
      </c>
      <c r="B753" s="44" t="s">
        <v>5731</v>
      </c>
      <c r="C753" s="45" t="s">
        <v>5732</v>
      </c>
      <c r="D753" s="44" t="s">
        <v>1414</v>
      </c>
      <c r="E753" s="44" t="s">
        <v>1460</v>
      </c>
      <c r="F753" s="51">
        <v>42452.747476701399</v>
      </c>
      <c r="G753" s="44" t="s">
        <v>1466</v>
      </c>
      <c r="H753" s="44" t="s">
        <v>5733</v>
      </c>
      <c r="I753" s="46" t="s">
        <v>5732</v>
      </c>
      <c r="J753" s="46"/>
      <c r="K753" s="46"/>
      <c r="L753" s="46"/>
      <c r="M753" s="46"/>
      <c r="N753" s="46"/>
      <c r="O753" s="44" t="s">
        <v>5734</v>
      </c>
      <c r="P753" s="44"/>
      <c r="Q753" s="44" t="s">
        <v>1463</v>
      </c>
      <c r="R753" s="44" t="s">
        <v>1463</v>
      </c>
      <c r="S753" s="43"/>
      <c r="T753" s="44"/>
    </row>
    <row r="754" spans="1:20" ht="26.45">
      <c r="A754" s="47" t="s">
        <v>313</v>
      </c>
      <c r="B754" s="47" t="s">
        <v>5735</v>
      </c>
      <c r="C754" s="48" t="s">
        <v>998</v>
      </c>
      <c r="D754" s="47" t="s">
        <v>1419</v>
      </c>
      <c r="E754" s="47" t="s">
        <v>1481</v>
      </c>
      <c r="F754" s="47"/>
      <c r="G754" s="47" t="s">
        <v>1687</v>
      </c>
      <c r="H754" s="47" t="s">
        <v>5736</v>
      </c>
      <c r="I754" s="50" t="s">
        <v>5737</v>
      </c>
      <c r="J754" s="50" t="s">
        <v>5738</v>
      </c>
      <c r="K754" s="50" t="s">
        <v>1493</v>
      </c>
      <c r="L754" s="50" t="s">
        <v>1504</v>
      </c>
      <c r="M754" s="50" t="s">
        <v>5739</v>
      </c>
      <c r="N754" s="50" t="s">
        <v>1516</v>
      </c>
      <c r="O754" s="47" t="s">
        <v>5740</v>
      </c>
      <c r="P754" s="47" t="s">
        <v>5741</v>
      </c>
      <c r="Q754" s="47" t="s">
        <v>1463</v>
      </c>
      <c r="R754" s="47" t="s">
        <v>1463</v>
      </c>
      <c r="S754" s="43"/>
      <c r="T754" s="49">
        <v>45331</v>
      </c>
    </row>
    <row r="755" spans="1:20" ht="26.45">
      <c r="A755" s="44" t="s">
        <v>1001</v>
      </c>
      <c r="B755" s="44" t="s">
        <v>5742</v>
      </c>
      <c r="C755" s="45" t="s">
        <v>1002</v>
      </c>
      <c r="D755" s="44" t="s">
        <v>1419</v>
      </c>
      <c r="E755" s="44" t="s">
        <v>1481</v>
      </c>
      <c r="F755" s="44"/>
      <c r="G755" s="44" t="s">
        <v>1466</v>
      </c>
      <c r="H755" s="44" t="s">
        <v>5743</v>
      </c>
      <c r="I755" s="46" t="s">
        <v>1002</v>
      </c>
      <c r="J755" s="46" t="s">
        <v>5744</v>
      </c>
      <c r="K755" s="46" t="s">
        <v>1493</v>
      </c>
      <c r="L755" s="46" t="s">
        <v>1504</v>
      </c>
      <c r="M755" s="46" t="s">
        <v>5745</v>
      </c>
      <c r="N755" s="46" t="s">
        <v>1629</v>
      </c>
      <c r="O755" s="44" t="s">
        <v>5746</v>
      </c>
      <c r="P755" s="44" t="s">
        <v>5747</v>
      </c>
      <c r="Q755" s="44" t="s">
        <v>1463</v>
      </c>
      <c r="R755" s="44" t="s">
        <v>1463</v>
      </c>
      <c r="S755" s="43"/>
      <c r="T755" s="51">
        <v>45393</v>
      </c>
    </row>
    <row r="756" spans="1:20" ht="26.45">
      <c r="A756" s="47" t="s">
        <v>999</v>
      </c>
      <c r="B756" s="47" t="s">
        <v>5748</v>
      </c>
      <c r="C756" s="48" t="s">
        <v>1000</v>
      </c>
      <c r="D756" s="47" t="s">
        <v>1419</v>
      </c>
      <c r="E756" s="47" t="s">
        <v>1481</v>
      </c>
      <c r="F756" s="47"/>
      <c r="G756" s="47" t="s">
        <v>1466</v>
      </c>
      <c r="H756" s="47" t="s">
        <v>5749</v>
      </c>
      <c r="I756" s="50" t="s">
        <v>1000</v>
      </c>
      <c r="J756" s="50" t="s">
        <v>5750</v>
      </c>
      <c r="K756" s="50" t="s">
        <v>1691</v>
      </c>
      <c r="L756" s="50" t="s">
        <v>1474</v>
      </c>
      <c r="M756" s="50" t="s">
        <v>5751</v>
      </c>
      <c r="N756" s="50" t="s">
        <v>1495</v>
      </c>
      <c r="O756" s="47" t="s">
        <v>5746</v>
      </c>
      <c r="P756" s="47" t="s">
        <v>5747</v>
      </c>
      <c r="Q756" s="47" t="s">
        <v>1463</v>
      </c>
      <c r="R756" s="47" t="s">
        <v>1463</v>
      </c>
      <c r="S756" s="43"/>
      <c r="T756" s="49">
        <v>45344</v>
      </c>
    </row>
    <row r="757" spans="1:20" ht="26.45">
      <c r="A757" s="44" t="s">
        <v>314</v>
      </c>
      <c r="B757" s="44" t="s">
        <v>5752</v>
      </c>
      <c r="C757" s="45" t="s">
        <v>1003</v>
      </c>
      <c r="D757" s="44" t="s">
        <v>1430</v>
      </c>
      <c r="E757" s="44" t="s">
        <v>1481</v>
      </c>
      <c r="F757" s="44"/>
      <c r="G757" s="44" t="s">
        <v>1687</v>
      </c>
      <c r="H757" s="44" t="s">
        <v>5753</v>
      </c>
      <c r="I757" s="46" t="s">
        <v>5754</v>
      </c>
      <c r="J757" s="46" t="s">
        <v>5755</v>
      </c>
      <c r="K757" s="46" t="s">
        <v>5756</v>
      </c>
      <c r="L757" s="46" t="s">
        <v>1474</v>
      </c>
      <c r="M757" s="46" t="s">
        <v>5757</v>
      </c>
      <c r="N757" s="46" t="s">
        <v>1531</v>
      </c>
      <c r="O757" s="44" t="s">
        <v>5758</v>
      </c>
      <c r="P757" s="44" t="s">
        <v>5759</v>
      </c>
      <c r="Q757" s="44" t="s">
        <v>1695</v>
      </c>
      <c r="R757" s="44" t="s">
        <v>1463</v>
      </c>
      <c r="S757" s="43"/>
      <c r="T757" s="51">
        <v>45657</v>
      </c>
    </row>
    <row r="758" spans="1:20" ht="39.6">
      <c r="A758" s="47" t="s">
        <v>5760</v>
      </c>
      <c r="B758" s="47" t="s">
        <v>5761</v>
      </c>
      <c r="C758" s="48" t="s">
        <v>5762</v>
      </c>
      <c r="D758" s="47" t="s">
        <v>1424</v>
      </c>
      <c r="E758" s="47" t="s">
        <v>1481</v>
      </c>
      <c r="F758" s="47"/>
      <c r="G758" s="47" t="s">
        <v>1511</v>
      </c>
      <c r="H758" s="47" t="s">
        <v>5763</v>
      </c>
      <c r="I758" s="50"/>
      <c r="J758" s="50"/>
      <c r="K758" s="50"/>
      <c r="L758" s="50"/>
      <c r="M758" s="50"/>
      <c r="N758" s="50"/>
      <c r="O758" s="47"/>
      <c r="P758" s="47"/>
      <c r="Q758" s="47" t="s">
        <v>1463</v>
      </c>
      <c r="R758" s="47" t="s">
        <v>1463</v>
      </c>
      <c r="S758" s="43"/>
      <c r="T758" s="47"/>
    </row>
    <row r="759" spans="1:20" ht="26.45">
      <c r="A759" s="44" t="s">
        <v>5764</v>
      </c>
      <c r="B759" s="44" t="s">
        <v>5765</v>
      </c>
      <c r="C759" s="45" t="s">
        <v>5766</v>
      </c>
      <c r="D759" s="44" t="s">
        <v>1414</v>
      </c>
      <c r="E759" s="44" t="s">
        <v>1481</v>
      </c>
      <c r="F759" s="44"/>
      <c r="G759" s="44" t="s">
        <v>3395</v>
      </c>
      <c r="H759" s="44" t="s">
        <v>5767</v>
      </c>
      <c r="I759" s="46" t="s">
        <v>5768</v>
      </c>
      <c r="J759" s="46" t="s">
        <v>5769</v>
      </c>
      <c r="K759" s="46" t="s">
        <v>1484</v>
      </c>
      <c r="L759" s="46" t="s">
        <v>1474</v>
      </c>
      <c r="M759" s="46" t="s">
        <v>5770</v>
      </c>
      <c r="N759" s="46" t="s">
        <v>1629</v>
      </c>
      <c r="O759" s="44" t="s">
        <v>5771</v>
      </c>
      <c r="P759" s="44" t="s">
        <v>5772</v>
      </c>
      <c r="Q759" s="44" t="s">
        <v>1463</v>
      </c>
      <c r="R759" s="44" t="s">
        <v>1463</v>
      </c>
      <c r="S759" s="43"/>
      <c r="T759" s="51">
        <v>45421</v>
      </c>
    </row>
    <row r="760" spans="1:20" ht="26.45">
      <c r="A760" s="47" t="s">
        <v>315</v>
      </c>
      <c r="B760" s="47" t="s">
        <v>5773</v>
      </c>
      <c r="C760" s="48" t="s">
        <v>1004</v>
      </c>
      <c r="D760" s="47" t="s">
        <v>1410</v>
      </c>
      <c r="E760" s="47" t="s">
        <v>1481</v>
      </c>
      <c r="F760" s="47"/>
      <c r="G760" s="47" t="s">
        <v>1687</v>
      </c>
      <c r="H760" s="47" t="s">
        <v>5774</v>
      </c>
      <c r="I760" s="50" t="s">
        <v>5775</v>
      </c>
      <c r="J760" s="50" t="s">
        <v>5776</v>
      </c>
      <c r="K760" s="50" t="s">
        <v>5777</v>
      </c>
      <c r="L760" s="50" t="s">
        <v>1504</v>
      </c>
      <c r="M760" s="50" t="s">
        <v>5778</v>
      </c>
      <c r="N760" s="50" t="s">
        <v>1525</v>
      </c>
      <c r="O760" s="47" t="s">
        <v>5779</v>
      </c>
      <c r="P760" s="47" t="s">
        <v>5780</v>
      </c>
      <c r="Q760" s="47" t="s">
        <v>1695</v>
      </c>
      <c r="R760" s="47" t="s">
        <v>1463</v>
      </c>
      <c r="S760" s="43"/>
      <c r="T760" s="49">
        <v>45635</v>
      </c>
    </row>
    <row r="761" spans="1:20" ht="39.6">
      <c r="A761" s="44" t="s">
        <v>5781</v>
      </c>
      <c r="B761" s="44" t="s">
        <v>5782</v>
      </c>
      <c r="C761" s="45" t="s">
        <v>5783</v>
      </c>
      <c r="D761" s="44" t="s">
        <v>1424</v>
      </c>
      <c r="E761" s="44" t="s">
        <v>1481</v>
      </c>
      <c r="F761" s="44"/>
      <c r="G761" s="44" t="s">
        <v>1511</v>
      </c>
      <c r="H761" s="44" t="s">
        <v>5784</v>
      </c>
      <c r="I761" s="46" t="s">
        <v>5783</v>
      </c>
      <c r="J761" s="46"/>
      <c r="K761" s="46"/>
      <c r="L761" s="46"/>
      <c r="M761" s="46"/>
      <c r="N761" s="46"/>
      <c r="O761" s="44"/>
      <c r="P761" s="44"/>
      <c r="Q761" s="44" t="s">
        <v>1695</v>
      </c>
      <c r="R761" s="44" t="s">
        <v>1463</v>
      </c>
      <c r="S761" s="43"/>
      <c r="T761" s="44"/>
    </row>
    <row r="762" spans="1:20" ht="39.6">
      <c r="A762" s="47" t="s">
        <v>5785</v>
      </c>
      <c r="B762" s="47" t="s">
        <v>5786</v>
      </c>
      <c r="C762" s="48" t="s">
        <v>5787</v>
      </c>
      <c r="D762" s="47" t="s">
        <v>1424</v>
      </c>
      <c r="E762" s="47" t="s">
        <v>1481</v>
      </c>
      <c r="F762" s="47"/>
      <c r="G762" s="47" t="s">
        <v>1511</v>
      </c>
      <c r="H762" s="47" t="s">
        <v>5788</v>
      </c>
      <c r="I762" s="50" t="s">
        <v>5787</v>
      </c>
      <c r="J762" s="50"/>
      <c r="K762" s="50"/>
      <c r="L762" s="50"/>
      <c r="M762" s="50"/>
      <c r="N762" s="50"/>
      <c r="O762" s="47"/>
      <c r="P762" s="47"/>
      <c r="Q762" s="47" t="s">
        <v>1463</v>
      </c>
      <c r="R762" s="47" t="s">
        <v>1463</v>
      </c>
      <c r="S762" s="43"/>
      <c r="T762" s="47"/>
    </row>
    <row r="763" spans="1:20" ht="26.45">
      <c r="A763" s="44" t="s">
        <v>316</v>
      </c>
      <c r="B763" s="44" t="s">
        <v>5789</v>
      </c>
      <c r="C763" s="45" t="s">
        <v>1005</v>
      </c>
      <c r="D763" s="44" t="s">
        <v>1414</v>
      </c>
      <c r="E763" s="44" t="s">
        <v>1481</v>
      </c>
      <c r="F763" s="44"/>
      <c r="G763" s="44" t="s">
        <v>1687</v>
      </c>
      <c r="H763" s="44" t="s">
        <v>5790</v>
      </c>
      <c r="I763" s="46" t="s">
        <v>5791</v>
      </c>
      <c r="J763" s="46" t="s">
        <v>5792</v>
      </c>
      <c r="K763" s="46" t="s">
        <v>5793</v>
      </c>
      <c r="L763" s="46" t="s">
        <v>1474</v>
      </c>
      <c r="M763" s="46" t="s">
        <v>5794</v>
      </c>
      <c r="N763" s="46" t="s">
        <v>1525</v>
      </c>
      <c r="O763" s="44" t="s">
        <v>5795</v>
      </c>
      <c r="P763" s="44" t="s">
        <v>5796</v>
      </c>
      <c r="Q763" s="44" t="s">
        <v>1695</v>
      </c>
      <c r="R763" s="44" t="s">
        <v>1463</v>
      </c>
      <c r="S763" s="43"/>
      <c r="T763" s="51">
        <v>45672</v>
      </c>
    </row>
    <row r="764" spans="1:20" ht="26.45">
      <c r="A764" s="47" t="s">
        <v>5797</v>
      </c>
      <c r="B764" s="47" t="s">
        <v>5798</v>
      </c>
      <c r="C764" s="48" t="s">
        <v>5799</v>
      </c>
      <c r="D764" s="47" t="s">
        <v>1419</v>
      </c>
      <c r="E764" s="47" t="s">
        <v>1481</v>
      </c>
      <c r="F764" s="47"/>
      <c r="G764" s="47" t="s">
        <v>1663</v>
      </c>
      <c r="H764" s="47" t="s">
        <v>5800</v>
      </c>
      <c r="I764" s="50" t="s">
        <v>5801</v>
      </c>
      <c r="J764" s="50" t="s">
        <v>5802</v>
      </c>
      <c r="K764" s="50" t="s">
        <v>2184</v>
      </c>
      <c r="L764" s="50" t="s">
        <v>1504</v>
      </c>
      <c r="M764" s="50" t="s">
        <v>5803</v>
      </c>
      <c r="N764" s="50" t="s">
        <v>1516</v>
      </c>
      <c r="O764" s="47" t="s">
        <v>5804</v>
      </c>
      <c r="P764" s="47" t="s">
        <v>5805</v>
      </c>
      <c r="Q764" s="47" t="s">
        <v>1463</v>
      </c>
      <c r="R764" s="47" t="s">
        <v>1463</v>
      </c>
      <c r="S764" s="43"/>
      <c r="T764" s="49">
        <v>45372</v>
      </c>
    </row>
    <row r="765" spans="1:20" ht="26.45">
      <c r="A765" s="44" t="s">
        <v>5806</v>
      </c>
      <c r="B765" s="44" t="s">
        <v>5807</v>
      </c>
      <c r="C765" s="45" t="s">
        <v>5808</v>
      </c>
      <c r="D765" s="44" t="s">
        <v>1419</v>
      </c>
      <c r="E765" s="44" t="s">
        <v>1481</v>
      </c>
      <c r="F765" s="44"/>
      <c r="G765" s="44" t="s">
        <v>1663</v>
      </c>
      <c r="H765" s="44" t="s">
        <v>5809</v>
      </c>
      <c r="I765" s="46" t="s">
        <v>5810</v>
      </c>
      <c r="J765" s="46" t="s">
        <v>5811</v>
      </c>
      <c r="K765" s="46" t="s">
        <v>1493</v>
      </c>
      <c r="L765" s="46" t="s">
        <v>1474</v>
      </c>
      <c r="M765" s="46" t="s">
        <v>5812</v>
      </c>
      <c r="N765" s="46" t="s">
        <v>1629</v>
      </c>
      <c r="O765" s="44" t="s">
        <v>5813</v>
      </c>
      <c r="P765" s="44" t="s">
        <v>5814</v>
      </c>
      <c r="Q765" s="44" t="s">
        <v>1463</v>
      </c>
      <c r="R765" s="44" t="s">
        <v>1463</v>
      </c>
      <c r="S765" s="43"/>
      <c r="T765" s="51">
        <v>45621</v>
      </c>
    </row>
    <row r="766" spans="1:20" ht="26.45">
      <c r="A766" s="47" t="s">
        <v>1006</v>
      </c>
      <c r="B766" s="47" t="s">
        <v>5815</v>
      </c>
      <c r="C766" s="48" t="s">
        <v>1007</v>
      </c>
      <c r="D766" s="47" t="s">
        <v>1419</v>
      </c>
      <c r="E766" s="47" t="s">
        <v>1481</v>
      </c>
      <c r="F766" s="47"/>
      <c r="G766" s="47" t="s">
        <v>1466</v>
      </c>
      <c r="H766" s="47" t="s">
        <v>5816</v>
      </c>
      <c r="I766" s="50" t="s">
        <v>5817</v>
      </c>
      <c r="J766" s="50" t="s">
        <v>5818</v>
      </c>
      <c r="K766" s="50" t="s">
        <v>1493</v>
      </c>
      <c r="L766" s="50" t="s">
        <v>1474</v>
      </c>
      <c r="M766" s="50" t="s">
        <v>5819</v>
      </c>
      <c r="N766" s="50" t="s">
        <v>1629</v>
      </c>
      <c r="O766" s="47" t="s">
        <v>5820</v>
      </c>
      <c r="P766" s="47" t="s">
        <v>5821</v>
      </c>
      <c r="Q766" s="47" t="s">
        <v>1463</v>
      </c>
      <c r="R766" s="47" t="s">
        <v>1463</v>
      </c>
      <c r="S766" s="43"/>
      <c r="T766" s="49">
        <v>45621</v>
      </c>
    </row>
    <row r="767" spans="1:20" ht="26.45">
      <c r="A767" s="44" t="s">
        <v>1008</v>
      </c>
      <c r="B767" s="44" t="s">
        <v>5822</v>
      </c>
      <c r="C767" s="45" t="s">
        <v>1009</v>
      </c>
      <c r="D767" s="44" t="s">
        <v>1419</v>
      </c>
      <c r="E767" s="44" t="s">
        <v>1481</v>
      </c>
      <c r="F767" s="44"/>
      <c r="G767" s="44" t="s">
        <v>1663</v>
      </c>
      <c r="H767" s="44" t="s">
        <v>5823</v>
      </c>
      <c r="I767" s="46" t="s">
        <v>5824</v>
      </c>
      <c r="J767" s="46" t="s">
        <v>5825</v>
      </c>
      <c r="K767" s="46" t="s">
        <v>1493</v>
      </c>
      <c r="L767" s="46" t="s">
        <v>1474</v>
      </c>
      <c r="M767" s="46" t="s">
        <v>5826</v>
      </c>
      <c r="N767" s="46" t="s">
        <v>1516</v>
      </c>
      <c r="O767" s="44" t="s">
        <v>5827</v>
      </c>
      <c r="P767" s="44" t="s">
        <v>5828</v>
      </c>
      <c r="Q767" s="44" t="s">
        <v>1695</v>
      </c>
      <c r="R767" s="44" t="s">
        <v>1463</v>
      </c>
      <c r="S767" s="43"/>
      <c r="T767" s="51">
        <v>45422</v>
      </c>
    </row>
    <row r="768" spans="1:20" ht="26.45">
      <c r="A768" s="47" t="s">
        <v>5829</v>
      </c>
      <c r="B768" s="47" t="s">
        <v>5830</v>
      </c>
      <c r="C768" s="48" t="s">
        <v>5831</v>
      </c>
      <c r="D768" s="47" t="s">
        <v>1419</v>
      </c>
      <c r="E768" s="47" t="s">
        <v>1481</v>
      </c>
      <c r="F768" s="47"/>
      <c r="G768" s="47" t="s">
        <v>1663</v>
      </c>
      <c r="H768" s="47" t="s">
        <v>5832</v>
      </c>
      <c r="I768" s="50" t="s">
        <v>5824</v>
      </c>
      <c r="J768" s="50" t="s">
        <v>5825</v>
      </c>
      <c r="K768" s="50" t="s">
        <v>1493</v>
      </c>
      <c r="L768" s="50" t="s">
        <v>1474</v>
      </c>
      <c r="M768" s="50" t="s">
        <v>5826</v>
      </c>
      <c r="N768" s="50" t="s">
        <v>1629</v>
      </c>
      <c r="O768" s="47" t="s">
        <v>5827</v>
      </c>
      <c r="P768" s="47" t="s">
        <v>5828</v>
      </c>
      <c r="Q768" s="47" t="s">
        <v>1463</v>
      </c>
      <c r="R768" s="47" t="s">
        <v>1463</v>
      </c>
      <c r="S768" s="43"/>
      <c r="T768" s="49">
        <v>45422</v>
      </c>
    </row>
    <row r="769" spans="1:20" ht="26.45">
      <c r="A769" s="44" t="s">
        <v>5833</v>
      </c>
      <c r="B769" s="44" t="s">
        <v>5834</v>
      </c>
      <c r="C769" s="45" t="s">
        <v>5835</v>
      </c>
      <c r="D769" s="44" t="s">
        <v>1419</v>
      </c>
      <c r="E769" s="44" t="s">
        <v>1481</v>
      </c>
      <c r="F769" s="44"/>
      <c r="G769" s="44" t="s">
        <v>1490</v>
      </c>
      <c r="H769" s="44" t="s">
        <v>5836</v>
      </c>
      <c r="I769" s="46" t="s">
        <v>5837</v>
      </c>
      <c r="J769" s="46" t="s">
        <v>5838</v>
      </c>
      <c r="K769" s="46" t="s">
        <v>1493</v>
      </c>
      <c r="L769" s="46" t="s">
        <v>1474</v>
      </c>
      <c r="M769" s="46" t="s">
        <v>5839</v>
      </c>
      <c r="N769" s="46" t="s">
        <v>1495</v>
      </c>
      <c r="O769" s="44" t="s">
        <v>5840</v>
      </c>
      <c r="P769" s="44"/>
      <c r="Q769" s="44" t="s">
        <v>1463</v>
      </c>
      <c r="R769" s="44" t="s">
        <v>1463</v>
      </c>
      <c r="S769" s="43"/>
      <c r="T769" s="51">
        <v>44958</v>
      </c>
    </row>
    <row r="770" spans="1:20" ht="26.45">
      <c r="A770" s="47" t="s">
        <v>1010</v>
      </c>
      <c r="B770" s="47" t="s">
        <v>5841</v>
      </c>
      <c r="C770" s="48" t="s">
        <v>1011</v>
      </c>
      <c r="D770" s="47" t="s">
        <v>1419</v>
      </c>
      <c r="E770" s="47" t="s">
        <v>1481</v>
      </c>
      <c r="F770" s="47"/>
      <c r="G770" s="47" t="s">
        <v>1687</v>
      </c>
      <c r="H770" s="47" t="s">
        <v>5842</v>
      </c>
      <c r="I770" s="50" t="s">
        <v>1011</v>
      </c>
      <c r="J770" s="50" t="s">
        <v>5843</v>
      </c>
      <c r="K770" s="50" t="s">
        <v>1523</v>
      </c>
      <c r="L770" s="50" t="s">
        <v>1504</v>
      </c>
      <c r="M770" s="50" t="s">
        <v>5844</v>
      </c>
      <c r="N770" s="50" t="s">
        <v>1629</v>
      </c>
      <c r="O770" s="47" t="s">
        <v>5845</v>
      </c>
      <c r="P770" s="47" t="s">
        <v>5846</v>
      </c>
      <c r="Q770" s="47" t="s">
        <v>1695</v>
      </c>
      <c r="R770" s="47" t="s">
        <v>1463</v>
      </c>
      <c r="S770" s="43"/>
      <c r="T770" s="49">
        <v>45560</v>
      </c>
    </row>
    <row r="771" spans="1:20" ht="26.45">
      <c r="A771" s="44" t="s">
        <v>5847</v>
      </c>
      <c r="B771" s="44" t="s">
        <v>5848</v>
      </c>
      <c r="C771" s="45" t="s">
        <v>5849</v>
      </c>
      <c r="D771" s="44" t="s">
        <v>1419</v>
      </c>
      <c r="E771" s="44" t="s">
        <v>1460</v>
      </c>
      <c r="F771" s="51">
        <v>43728.688598344903</v>
      </c>
      <c r="G771" s="44" t="s">
        <v>1687</v>
      </c>
      <c r="H771" s="44" t="s">
        <v>5850</v>
      </c>
      <c r="I771" s="46" t="s">
        <v>5849</v>
      </c>
      <c r="J771" s="46" t="s">
        <v>5851</v>
      </c>
      <c r="K771" s="46" t="s">
        <v>1523</v>
      </c>
      <c r="L771" s="46" t="s">
        <v>1504</v>
      </c>
      <c r="M771" s="46" t="s">
        <v>5826</v>
      </c>
      <c r="N771" s="46" t="s">
        <v>1516</v>
      </c>
      <c r="O771" s="44" t="s">
        <v>5827</v>
      </c>
      <c r="P771" s="44"/>
      <c r="Q771" s="44" t="s">
        <v>1695</v>
      </c>
      <c r="R771" s="44" t="s">
        <v>1463</v>
      </c>
      <c r="S771" s="43"/>
      <c r="T771" s="51">
        <v>44060</v>
      </c>
    </row>
    <row r="772" spans="1:20" ht="26.45">
      <c r="A772" s="47" t="s">
        <v>5852</v>
      </c>
      <c r="B772" s="47" t="s">
        <v>5853</v>
      </c>
      <c r="C772" s="48" t="s">
        <v>5854</v>
      </c>
      <c r="D772" s="47" t="s">
        <v>1419</v>
      </c>
      <c r="E772" s="47" t="s">
        <v>1460</v>
      </c>
      <c r="F772" s="49">
        <v>42817.741192627298</v>
      </c>
      <c r="G772" s="47" t="s">
        <v>1663</v>
      </c>
      <c r="H772" s="47"/>
      <c r="I772" s="50" t="s">
        <v>5854</v>
      </c>
      <c r="J772" s="50" t="s">
        <v>5855</v>
      </c>
      <c r="K772" s="50" t="s">
        <v>1523</v>
      </c>
      <c r="L772" s="50" t="s">
        <v>1504</v>
      </c>
      <c r="M772" s="50" t="s">
        <v>5856</v>
      </c>
      <c r="N772" s="50" t="s">
        <v>1495</v>
      </c>
      <c r="O772" s="47" t="s">
        <v>5857</v>
      </c>
      <c r="P772" s="47"/>
      <c r="Q772" s="47" t="s">
        <v>1463</v>
      </c>
      <c r="R772" s="47" t="s">
        <v>1463</v>
      </c>
      <c r="S772" s="43"/>
      <c r="T772" s="49">
        <v>43157</v>
      </c>
    </row>
    <row r="773" spans="1:20" ht="26.45">
      <c r="A773" s="44" t="s">
        <v>1012</v>
      </c>
      <c r="B773" s="44" t="s">
        <v>5858</v>
      </c>
      <c r="C773" s="45" t="s">
        <v>1013</v>
      </c>
      <c r="D773" s="44" t="s">
        <v>1419</v>
      </c>
      <c r="E773" s="44" t="s">
        <v>1481</v>
      </c>
      <c r="F773" s="44"/>
      <c r="G773" s="44" t="s">
        <v>1663</v>
      </c>
      <c r="H773" s="44" t="s">
        <v>5859</v>
      </c>
      <c r="I773" s="46" t="s">
        <v>5860</v>
      </c>
      <c r="J773" s="46" t="s">
        <v>5861</v>
      </c>
      <c r="K773" s="46" t="s">
        <v>1493</v>
      </c>
      <c r="L773" s="46" t="s">
        <v>1504</v>
      </c>
      <c r="M773" s="46" t="s">
        <v>5862</v>
      </c>
      <c r="N773" s="46" t="s">
        <v>1495</v>
      </c>
      <c r="O773" s="44" t="s">
        <v>5857</v>
      </c>
      <c r="P773" s="44" t="s">
        <v>5863</v>
      </c>
      <c r="Q773" s="44" t="s">
        <v>1463</v>
      </c>
      <c r="R773" s="44" t="s">
        <v>1463</v>
      </c>
      <c r="S773" s="43"/>
      <c r="T773" s="51">
        <v>45349</v>
      </c>
    </row>
    <row r="774" spans="1:20">
      <c r="A774" s="47" t="s">
        <v>5864</v>
      </c>
      <c r="B774" s="47" t="s">
        <v>5865</v>
      </c>
      <c r="C774" s="48" t="s">
        <v>5866</v>
      </c>
      <c r="D774" s="47" t="s">
        <v>1419</v>
      </c>
      <c r="E774" s="47" t="s">
        <v>1481</v>
      </c>
      <c r="F774" s="47"/>
      <c r="G774" s="47" t="s">
        <v>1663</v>
      </c>
      <c r="H774" s="47"/>
      <c r="I774" s="50"/>
      <c r="J774" s="50"/>
      <c r="K774" s="50"/>
      <c r="L774" s="50"/>
      <c r="M774" s="50"/>
      <c r="N774" s="50"/>
      <c r="O774" s="47"/>
      <c r="P774" s="47"/>
      <c r="Q774" s="47" t="s">
        <v>1463</v>
      </c>
      <c r="R774" s="47" t="s">
        <v>1463</v>
      </c>
      <c r="S774" s="43"/>
      <c r="T774" s="47"/>
    </row>
    <row r="775" spans="1:20" ht="26.45">
      <c r="A775" s="44" t="s">
        <v>317</v>
      </c>
      <c r="B775" s="44" t="s">
        <v>5867</v>
      </c>
      <c r="C775" s="45" t="s">
        <v>1014</v>
      </c>
      <c r="D775" s="44" t="s">
        <v>1410</v>
      </c>
      <c r="E775" s="44" t="s">
        <v>1481</v>
      </c>
      <c r="F775" s="44"/>
      <c r="G775" s="44" t="s">
        <v>1687</v>
      </c>
      <c r="H775" s="44" t="s">
        <v>5868</v>
      </c>
      <c r="I775" s="46" t="s">
        <v>5869</v>
      </c>
      <c r="J775" s="46" t="s">
        <v>5870</v>
      </c>
      <c r="K775" s="46" t="s">
        <v>1419</v>
      </c>
      <c r="L775" s="46" t="s">
        <v>1504</v>
      </c>
      <c r="M775" s="46" t="s">
        <v>5871</v>
      </c>
      <c r="N775" s="46" t="s">
        <v>1531</v>
      </c>
      <c r="O775" s="44" t="s">
        <v>5872</v>
      </c>
      <c r="P775" s="44" t="s">
        <v>5873</v>
      </c>
      <c r="Q775" s="44" t="s">
        <v>1695</v>
      </c>
      <c r="R775" s="44" t="s">
        <v>1463</v>
      </c>
      <c r="S775" s="43"/>
      <c r="T775" s="51">
        <v>45572</v>
      </c>
    </row>
    <row r="776" spans="1:20" ht="26.45">
      <c r="A776" s="47" t="s">
        <v>5874</v>
      </c>
      <c r="B776" s="47" t="s">
        <v>5875</v>
      </c>
      <c r="C776" s="48" t="s">
        <v>5876</v>
      </c>
      <c r="D776" s="47" t="s">
        <v>1419</v>
      </c>
      <c r="E776" s="47" t="s">
        <v>1481</v>
      </c>
      <c r="F776" s="47"/>
      <c r="G776" s="47" t="s">
        <v>1490</v>
      </c>
      <c r="H776" s="47"/>
      <c r="I776" s="50"/>
      <c r="J776" s="50" t="s">
        <v>5877</v>
      </c>
      <c r="K776" s="50" t="s">
        <v>1419</v>
      </c>
      <c r="L776" s="50" t="s">
        <v>1504</v>
      </c>
      <c r="M776" s="50" t="s">
        <v>5878</v>
      </c>
      <c r="N776" s="50"/>
      <c r="O776" s="47"/>
      <c r="P776" s="47"/>
      <c r="Q776" s="47" t="s">
        <v>1463</v>
      </c>
      <c r="R776" s="47" t="s">
        <v>1463</v>
      </c>
      <c r="S776" s="43"/>
      <c r="T776" s="47"/>
    </row>
    <row r="777" spans="1:20" ht="26.45">
      <c r="A777" s="44" t="s">
        <v>318</v>
      </c>
      <c r="B777" s="44" t="s">
        <v>5879</v>
      </c>
      <c r="C777" s="45" t="s">
        <v>1015</v>
      </c>
      <c r="D777" s="44" t="s">
        <v>1410</v>
      </c>
      <c r="E777" s="44" t="s">
        <v>1481</v>
      </c>
      <c r="F777" s="44"/>
      <c r="G777" s="44" t="s">
        <v>1687</v>
      </c>
      <c r="H777" s="44" t="s">
        <v>5880</v>
      </c>
      <c r="I777" s="46" t="s">
        <v>1015</v>
      </c>
      <c r="J777" s="46" t="s">
        <v>5881</v>
      </c>
      <c r="K777" s="46" t="s">
        <v>4024</v>
      </c>
      <c r="L777" s="46" t="s">
        <v>1504</v>
      </c>
      <c r="M777" s="46" t="s">
        <v>5882</v>
      </c>
      <c r="N777" s="46" t="s">
        <v>1525</v>
      </c>
      <c r="O777" s="44" t="s">
        <v>5883</v>
      </c>
      <c r="P777" s="44" t="s">
        <v>5884</v>
      </c>
      <c r="Q777" s="44" t="s">
        <v>1695</v>
      </c>
      <c r="R777" s="44" t="s">
        <v>1463</v>
      </c>
      <c r="S777" s="43"/>
      <c r="T777" s="51">
        <v>45607</v>
      </c>
    </row>
    <row r="778" spans="1:20" ht="26.45">
      <c r="A778" s="47" t="s">
        <v>1016</v>
      </c>
      <c r="B778" s="47" t="s">
        <v>5885</v>
      </c>
      <c r="C778" s="48" t="s">
        <v>1017</v>
      </c>
      <c r="D778" s="47" t="s">
        <v>1420</v>
      </c>
      <c r="E778" s="47" t="s">
        <v>1481</v>
      </c>
      <c r="F778" s="47"/>
      <c r="G778" s="47" t="s">
        <v>1466</v>
      </c>
      <c r="H778" s="47" t="s">
        <v>5886</v>
      </c>
      <c r="I778" s="50" t="s">
        <v>5887</v>
      </c>
      <c r="J778" s="50" t="s">
        <v>5888</v>
      </c>
      <c r="K778" s="50" t="s">
        <v>3443</v>
      </c>
      <c r="L778" s="50" t="s">
        <v>1474</v>
      </c>
      <c r="M778" s="50" t="s">
        <v>5889</v>
      </c>
      <c r="N778" s="50" t="s">
        <v>1476</v>
      </c>
      <c r="O778" s="47" t="s">
        <v>5890</v>
      </c>
      <c r="P778" s="47" t="s">
        <v>5891</v>
      </c>
      <c r="Q778" s="47" t="s">
        <v>1463</v>
      </c>
      <c r="R778" s="47" t="s">
        <v>1463</v>
      </c>
      <c r="S778" s="43"/>
      <c r="T778" s="49">
        <v>45553</v>
      </c>
    </row>
    <row r="779" spans="1:20" ht="26.45">
      <c r="A779" s="44" t="s">
        <v>319</v>
      </c>
      <c r="B779" s="44" t="s">
        <v>5892</v>
      </c>
      <c r="C779" s="45" t="s">
        <v>1018</v>
      </c>
      <c r="D779" s="44" t="s">
        <v>1419</v>
      </c>
      <c r="E779" s="44" t="s">
        <v>1481</v>
      </c>
      <c r="F779" s="44"/>
      <c r="G779" s="44" t="s">
        <v>1466</v>
      </c>
      <c r="H779" s="44" t="s">
        <v>5893</v>
      </c>
      <c r="I779" s="46" t="s">
        <v>1018</v>
      </c>
      <c r="J779" s="46" t="s">
        <v>5894</v>
      </c>
      <c r="K779" s="46" t="s">
        <v>1493</v>
      </c>
      <c r="L779" s="46" t="s">
        <v>2117</v>
      </c>
      <c r="M779" s="46" t="s">
        <v>5895</v>
      </c>
      <c r="N779" s="46" t="s">
        <v>1629</v>
      </c>
      <c r="O779" s="44" t="s">
        <v>5896</v>
      </c>
      <c r="P779" s="44" t="s">
        <v>5897</v>
      </c>
      <c r="Q779" s="44" t="s">
        <v>1463</v>
      </c>
      <c r="R779" s="44" t="s">
        <v>1463</v>
      </c>
      <c r="S779" s="43"/>
      <c r="T779" s="51">
        <v>45628</v>
      </c>
    </row>
    <row r="780" spans="1:20" ht="26.45">
      <c r="A780" s="47" t="s">
        <v>320</v>
      </c>
      <c r="B780" s="47" t="s">
        <v>5898</v>
      </c>
      <c r="C780" s="48" t="s">
        <v>1019</v>
      </c>
      <c r="D780" s="47" t="s">
        <v>1416</v>
      </c>
      <c r="E780" s="47" t="s">
        <v>1481</v>
      </c>
      <c r="F780" s="47"/>
      <c r="G780" s="47" t="s">
        <v>1466</v>
      </c>
      <c r="H780" s="47" t="s">
        <v>5899</v>
      </c>
      <c r="I780" s="50" t="s">
        <v>5900</v>
      </c>
      <c r="J780" s="50" t="s">
        <v>5901</v>
      </c>
      <c r="K780" s="50" t="s">
        <v>5902</v>
      </c>
      <c r="L780" s="50" t="s">
        <v>2117</v>
      </c>
      <c r="M780" s="50" t="s">
        <v>5903</v>
      </c>
      <c r="N780" s="50" t="s">
        <v>1516</v>
      </c>
      <c r="O780" s="47" t="s">
        <v>5904</v>
      </c>
      <c r="P780" s="47" t="s">
        <v>5905</v>
      </c>
      <c r="Q780" s="47" t="s">
        <v>1463</v>
      </c>
      <c r="R780" s="47" t="s">
        <v>1463</v>
      </c>
      <c r="S780" s="43"/>
      <c r="T780" s="49">
        <v>45538</v>
      </c>
    </row>
    <row r="781" spans="1:20" ht="26.45">
      <c r="A781" s="44" t="s">
        <v>321</v>
      </c>
      <c r="B781" s="44" t="s">
        <v>5906</v>
      </c>
      <c r="C781" s="45" t="s">
        <v>1020</v>
      </c>
      <c r="D781" s="44" t="s">
        <v>1414</v>
      </c>
      <c r="E781" s="44" t="s">
        <v>1481</v>
      </c>
      <c r="F781" s="44"/>
      <c r="G781" s="44" t="s">
        <v>1466</v>
      </c>
      <c r="H781" s="44" t="s">
        <v>2863</v>
      </c>
      <c r="I781" s="46" t="s">
        <v>1020</v>
      </c>
      <c r="J781" s="46" t="s">
        <v>5907</v>
      </c>
      <c r="K781" s="46" t="s">
        <v>1484</v>
      </c>
      <c r="L781" s="46" t="s">
        <v>2117</v>
      </c>
      <c r="M781" s="46" t="s">
        <v>5908</v>
      </c>
      <c r="N781" s="46" t="s">
        <v>1495</v>
      </c>
      <c r="O781" s="44" t="s">
        <v>5909</v>
      </c>
      <c r="P781" s="44" t="s">
        <v>5910</v>
      </c>
      <c r="Q781" s="44" t="s">
        <v>1463</v>
      </c>
      <c r="R781" s="44" t="s">
        <v>1463</v>
      </c>
      <c r="S781" s="43"/>
      <c r="T781" s="51">
        <v>45644</v>
      </c>
    </row>
    <row r="782" spans="1:20" ht="26.45">
      <c r="A782" s="47" t="s">
        <v>5911</v>
      </c>
      <c r="B782" s="47" t="s">
        <v>5912</v>
      </c>
      <c r="C782" s="48" t="s">
        <v>5913</v>
      </c>
      <c r="D782" s="47" t="s">
        <v>1419</v>
      </c>
      <c r="E782" s="47" t="s">
        <v>1481</v>
      </c>
      <c r="F782" s="47"/>
      <c r="G782" s="47" t="s">
        <v>1490</v>
      </c>
      <c r="H782" s="47" t="s">
        <v>5914</v>
      </c>
      <c r="I782" s="50" t="s">
        <v>5913</v>
      </c>
      <c r="J782" s="50" t="s">
        <v>5915</v>
      </c>
      <c r="K782" s="50" t="s">
        <v>2213</v>
      </c>
      <c r="L782" s="50" t="s">
        <v>1504</v>
      </c>
      <c r="M782" s="50" t="s">
        <v>5916</v>
      </c>
      <c r="N782" s="50" t="s">
        <v>1476</v>
      </c>
      <c r="O782" s="47"/>
      <c r="P782" s="47"/>
      <c r="Q782" s="47" t="s">
        <v>1463</v>
      </c>
      <c r="R782" s="47" t="s">
        <v>1463</v>
      </c>
      <c r="S782" s="43"/>
      <c r="T782" s="47"/>
    </row>
    <row r="783" spans="1:20" ht="26.45">
      <c r="A783" s="44" t="s">
        <v>5917</v>
      </c>
      <c r="B783" s="44" t="s">
        <v>5918</v>
      </c>
      <c r="C783" s="45" t="s">
        <v>5919</v>
      </c>
      <c r="D783" s="44" t="s">
        <v>1419</v>
      </c>
      <c r="E783" s="44" t="s">
        <v>1481</v>
      </c>
      <c r="F783" s="44"/>
      <c r="G783" s="44" t="s">
        <v>1490</v>
      </c>
      <c r="H783" s="44" t="s">
        <v>5920</v>
      </c>
      <c r="I783" s="46" t="s">
        <v>5921</v>
      </c>
      <c r="J783" s="46" t="s">
        <v>5922</v>
      </c>
      <c r="K783" s="46" t="s">
        <v>1503</v>
      </c>
      <c r="L783" s="46" t="s">
        <v>1474</v>
      </c>
      <c r="M783" s="46" t="s">
        <v>5923</v>
      </c>
      <c r="N783" s="46" t="s">
        <v>1476</v>
      </c>
      <c r="O783" s="44"/>
      <c r="P783" s="44" t="s">
        <v>5924</v>
      </c>
      <c r="Q783" s="44" t="s">
        <v>1463</v>
      </c>
      <c r="R783" s="44" t="s">
        <v>1463</v>
      </c>
      <c r="S783" s="43"/>
      <c r="T783" s="51">
        <v>45714</v>
      </c>
    </row>
    <row r="784" spans="1:20" ht="26.45">
      <c r="A784" s="47" t="s">
        <v>322</v>
      </c>
      <c r="B784" s="47" t="s">
        <v>5925</v>
      </c>
      <c r="C784" s="48" t="s">
        <v>1021</v>
      </c>
      <c r="D784" s="47" t="s">
        <v>1420</v>
      </c>
      <c r="E784" s="47" t="s">
        <v>1481</v>
      </c>
      <c r="F784" s="47"/>
      <c r="G784" s="47" t="s">
        <v>1687</v>
      </c>
      <c r="H784" s="47" t="s">
        <v>5926</v>
      </c>
      <c r="I784" s="50" t="s">
        <v>5927</v>
      </c>
      <c r="J784" s="50" t="s">
        <v>5928</v>
      </c>
      <c r="K784" s="50" t="s">
        <v>5929</v>
      </c>
      <c r="L784" s="50" t="s">
        <v>1504</v>
      </c>
      <c r="M784" s="50" t="s">
        <v>5930</v>
      </c>
      <c r="N784" s="50" t="s">
        <v>1476</v>
      </c>
      <c r="O784" s="47" t="s">
        <v>5931</v>
      </c>
      <c r="P784" s="47" t="s">
        <v>5932</v>
      </c>
      <c r="Q784" s="47" t="s">
        <v>1695</v>
      </c>
      <c r="R784" s="47" t="s">
        <v>1463</v>
      </c>
      <c r="S784" s="43"/>
      <c r="T784" s="49">
        <v>45551</v>
      </c>
    </row>
    <row r="785" spans="1:20" ht="26.45">
      <c r="A785" s="44" t="s">
        <v>1022</v>
      </c>
      <c r="B785" s="44" t="s">
        <v>5933</v>
      </c>
      <c r="C785" s="45" t="s">
        <v>1023</v>
      </c>
      <c r="D785" s="44" t="s">
        <v>1419</v>
      </c>
      <c r="E785" s="44" t="s">
        <v>1481</v>
      </c>
      <c r="F785" s="44"/>
      <c r="G785" s="44" t="s">
        <v>1466</v>
      </c>
      <c r="H785" s="44" t="s">
        <v>5934</v>
      </c>
      <c r="I785" s="46" t="s">
        <v>5935</v>
      </c>
      <c r="J785" s="46" t="s">
        <v>5936</v>
      </c>
      <c r="K785" s="46" t="s">
        <v>1493</v>
      </c>
      <c r="L785" s="46" t="s">
        <v>1474</v>
      </c>
      <c r="M785" s="46" t="s">
        <v>5937</v>
      </c>
      <c r="N785" s="46" t="s">
        <v>1629</v>
      </c>
      <c r="O785" s="44" t="s">
        <v>5938</v>
      </c>
      <c r="P785" s="44" t="s">
        <v>5939</v>
      </c>
      <c r="Q785" s="44" t="s">
        <v>1463</v>
      </c>
      <c r="R785" s="44" t="s">
        <v>1463</v>
      </c>
      <c r="S785" s="43"/>
      <c r="T785" s="51">
        <v>45684</v>
      </c>
    </row>
    <row r="786" spans="1:20" ht="26.45">
      <c r="A786" s="47" t="s">
        <v>323</v>
      </c>
      <c r="B786" s="47" t="s">
        <v>5940</v>
      </c>
      <c r="C786" s="48" t="s">
        <v>1024</v>
      </c>
      <c r="D786" s="47" t="s">
        <v>1424</v>
      </c>
      <c r="E786" s="47" t="s">
        <v>1481</v>
      </c>
      <c r="F786" s="47"/>
      <c r="G786" s="47" t="s">
        <v>1687</v>
      </c>
      <c r="H786" s="47" t="s">
        <v>5941</v>
      </c>
      <c r="I786" s="50" t="s">
        <v>5942</v>
      </c>
      <c r="J786" s="50" t="s">
        <v>5943</v>
      </c>
      <c r="K786" s="50" t="s">
        <v>5944</v>
      </c>
      <c r="L786" s="50" t="s">
        <v>1504</v>
      </c>
      <c r="M786" s="50" t="s">
        <v>5945</v>
      </c>
      <c r="N786" s="50" t="s">
        <v>1531</v>
      </c>
      <c r="O786" s="47" t="s">
        <v>5946</v>
      </c>
      <c r="P786" s="47" t="s">
        <v>5947</v>
      </c>
      <c r="Q786" s="47" t="s">
        <v>1695</v>
      </c>
      <c r="R786" s="47" t="s">
        <v>1463</v>
      </c>
      <c r="S786" s="43"/>
      <c r="T786" s="49">
        <v>45497</v>
      </c>
    </row>
    <row r="787" spans="1:20" ht="26.45">
      <c r="A787" s="44" t="s">
        <v>324</v>
      </c>
      <c r="B787" s="44" t="s">
        <v>5948</v>
      </c>
      <c r="C787" s="45" t="s">
        <v>1025</v>
      </c>
      <c r="D787" s="44" t="s">
        <v>1428</v>
      </c>
      <c r="E787" s="44" t="s">
        <v>1481</v>
      </c>
      <c r="F787" s="44"/>
      <c r="G787" s="44" t="s">
        <v>1687</v>
      </c>
      <c r="H787" s="44" t="s">
        <v>5949</v>
      </c>
      <c r="I787" s="46" t="s">
        <v>5950</v>
      </c>
      <c r="J787" s="46" t="s">
        <v>5951</v>
      </c>
      <c r="K787" s="46" t="s">
        <v>3740</v>
      </c>
      <c r="L787" s="46" t="s">
        <v>1504</v>
      </c>
      <c r="M787" s="46" t="s">
        <v>5952</v>
      </c>
      <c r="N787" s="46" t="s">
        <v>1531</v>
      </c>
      <c r="O787" s="44" t="s">
        <v>5953</v>
      </c>
      <c r="P787" s="44" t="s">
        <v>5954</v>
      </c>
      <c r="Q787" s="44" t="s">
        <v>1695</v>
      </c>
      <c r="R787" s="44" t="s">
        <v>1463</v>
      </c>
      <c r="S787" s="43"/>
      <c r="T787" s="51">
        <v>45358</v>
      </c>
    </row>
    <row r="788" spans="1:20" ht="26.45">
      <c r="A788" s="47" t="s">
        <v>5955</v>
      </c>
      <c r="B788" s="47"/>
      <c r="C788" s="48" t="s">
        <v>5956</v>
      </c>
      <c r="D788" s="47" t="s">
        <v>1419</v>
      </c>
      <c r="E788" s="47" t="s">
        <v>1460</v>
      </c>
      <c r="F788" s="49">
        <v>41457.382442789298</v>
      </c>
      <c r="G788" s="47" t="s">
        <v>1466</v>
      </c>
      <c r="H788" s="47"/>
      <c r="I788" s="50"/>
      <c r="J788" s="50"/>
      <c r="K788" s="50"/>
      <c r="L788" s="50"/>
      <c r="M788" s="50"/>
      <c r="N788" s="50"/>
      <c r="O788" s="47"/>
      <c r="P788" s="47"/>
      <c r="Q788" s="47" t="s">
        <v>1463</v>
      </c>
      <c r="R788" s="47" t="s">
        <v>1463</v>
      </c>
      <c r="S788" s="43"/>
      <c r="T788" s="47"/>
    </row>
    <row r="789" spans="1:20" ht="26.45">
      <c r="A789" s="44" t="s">
        <v>325</v>
      </c>
      <c r="B789" s="44" t="s">
        <v>5957</v>
      </c>
      <c r="C789" s="45" t="s">
        <v>1026</v>
      </c>
      <c r="D789" s="44" t="s">
        <v>1419</v>
      </c>
      <c r="E789" s="44" t="s">
        <v>1481</v>
      </c>
      <c r="F789" s="44"/>
      <c r="G789" s="44" t="s">
        <v>1687</v>
      </c>
      <c r="H789" s="44" t="s">
        <v>5958</v>
      </c>
      <c r="I789" s="46" t="s">
        <v>5959</v>
      </c>
      <c r="J789" s="46" t="s">
        <v>5960</v>
      </c>
      <c r="K789" s="46" t="s">
        <v>1503</v>
      </c>
      <c r="L789" s="46" t="s">
        <v>1504</v>
      </c>
      <c r="M789" s="46" t="s">
        <v>5961</v>
      </c>
      <c r="N789" s="46" t="s">
        <v>1516</v>
      </c>
      <c r="O789" s="44" t="s">
        <v>5962</v>
      </c>
      <c r="P789" s="44" t="s">
        <v>5963</v>
      </c>
      <c r="Q789" s="44" t="s">
        <v>1463</v>
      </c>
      <c r="R789" s="44" t="s">
        <v>1463</v>
      </c>
      <c r="S789" s="43"/>
      <c r="T789" s="51">
        <v>45502</v>
      </c>
    </row>
    <row r="790" spans="1:20">
      <c r="A790" s="47" t="s">
        <v>5964</v>
      </c>
      <c r="B790" s="47"/>
      <c r="C790" s="48" t="s">
        <v>5965</v>
      </c>
      <c r="D790" s="47" t="s">
        <v>1414</v>
      </c>
      <c r="E790" s="47" t="s">
        <v>1460</v>
      </c>
      <c r="F790" s="49">
        <v>41457.3824429745</v>
      </c>
      <c r="G790" s="47" t="s">
        <v>1466</v>
      </c>
      <c r="H790" s="47"/>
      <c r="I790" s="50"/>
      <c r="J790" s="50"/>
      <c r="K790" s="50"/>
      <c r="L790" s="50"/>
      <c r="M790" s="50"/>
      <c r="N790" s="50"/>
      <c r="O790" s="47"/>
      <c r="P790" s="47"/>
      <c r="Q790" s="47" t="s">
        <v>1463</v>
      </c>
      <c r="R790" s="47" t="s">
        <v>1463</v>
      </c>
      <c r="S790" s="43"/>
      <c r="T790" s="47"/>
    </row>
    <row r="791" spans="1:20" ht="26.45">
      <c r="A791" s="44" t="s">
        <v>1027</v>
      </c>
      <c r="B791" s="44" t="s">
        <v>5966</v>
      </c>
      <c r="C791" s="45" t="s">
        <v>1028</v>
      </c>
      <c r="D791" s="44" t="s">
        <v>1419</v>
      </c>
      <c r="E791" s="44" t="s">
        <v>1481</v>
      </c>
      <c r="F791" s="44"/>
      <c r="G791" s="44" t="s">
        <v>1466</v>
      </c>
      <c r="H791" s="44" t="s">
        <v>5967</v>
      </c>
      <c r="I791" s="46" t="s">
        <v>5968</v>
      </c>
      <c r="J791" s="46" t="s">
        <v>5969</v>
      </c>
      <c r="K791" s="46" t="s">
        <v>1493</v>
      </c>
      <c r="L791" s="46" t="s">
        <v>1504</v>
      </c>
      <c r="M791" s="46" t="s">
        <v>5970</v>
      </c>
      <c r="N791" s="46" t="s">
        <v>1629</v>
      </c>
      <c r="O791" s="44" t="s">
        <v>5971</v>
      </c>
      <c r="P791" s="44" t="s">
        <v>5972</v>
      </c>
      <c r="Q791" s="44" t="s">
        <v>1463</v>
      </c>
      <c r="R791" s="44" t="s">
        <v>1463</v>
      </c>
      <c r="S791" s="43"/>
      <c r="T791" s="51">
        <v>45548</v>
      </c>
    </row>
    <row r="792" spans="1:20" ht="26.45">
      <c r="A792" s="47" t="s">
        <v>326</v>
      </c>
      <c r="B792" s="47" t="s">
        <v>5973</v>
      </c>
      <c r="C792" s="48" t="s">
        <v>1029</v>
      </c>
      <c r="D792" s="47" t="s">
        <v>1436</v>
      </c>
      <c r="E792" s="47" t="s">
        <v>1481</v>
      </c>
      <c r="F792" s="47"/>
      <c r="G792" s="47" t="s">
        <v>1466</v>
      </c>
      <c r="H792" s="47" t="s">
        <v>5974</v>
      </c>
      <c r="I792" s="50" t="s">
        <v>5975</v>
      </c>
      <c r="J792" s="50" t="s">
        <v>5976</v>
      </c>
      <c r="K792" s="50" t="s">
        <v>5095</v>
      </c>
      <c r="L792" s="50" t="s">
        <v>1474</v>
      </c>
      <c r="M792" s="50" t="s">
        <v>5977</v>
      </c>
      <c r="N792" s="50" t="s">
        <v>1495</v>
      </c>
      <c r="O792" s="47" t="s">
        <v>5978</v>
      </c>
      <c r="P792" s="47" t="s">
        <v>5979</v>
      </c>
      <c r="Q792" s="47" t="s">
        <v>1463</v>
      </c>
      <c r="R792" s="47" t="s">
        <v>1463</v>
      </c>
      <c r="S792" s="43"/>
      <c r="T792" s="49">
        <v>45565</v>
      </c>
    </row>
    <row r="793" spans="1:20" ht="26.45">
      <c r="A793" s="44" t="s">
        <v>5980</v>
      </c>
      <c r="B793" s="44" t="s">
        <v>5981</v>
      </c>
      <c r="C793" s="45" t="s">
        <v>5982</v>
      </c>
      <c r="D793" s="44" t="s">
        <v>1419</v>
      </c>
      <c r="E793" s="44" t="s">
        <v>1481</v>
      </c>
      <c r="F793" s="44"/>
      <c r="G793" s="44" t="s">
        <v>1490</v>
      </c>
      <c r="H793" s="44" t="s">
        <v>5983</v>
      </c>
      <c r="I793" s="46" t="s">
        <v>5982</v>
      </c>
      <c r="J793" s="46" t="s">
        <v>5984</v>
      </c>
      <c r="K793" s="46" t="s">
        <v>1541</v>
      </c>
      <c r="L793" s="46" t="s">
        <v>1504</v>
      </c>
      <c r="M793" s="46" t="s">
        <v>5985</v>
      </c>
      <c r="N793" s="46"/>
      <c r="O793" s="44"/>
      <c r="P793" s="44"/>
      <c r="Q793" s="44" t="s">
        <v>1463</v>
      </c>
      <c r="R793" s="44" t="s">
        <v>1463</v>
      </c>
      <c r="S793" s="43"/>
      <c r="T793" s="44"/>
    </row>
    <row r="794" spans="1:20" ht="26.45">
      <c r="A794" s="47" t="s">
        <v>327</v>
      </c>
      <c r="B794" s="47" t="s">
        <v>5986</v>
      </c>
      <c r="C794" s="48" t="s">
        <v>1030</v>
      </c>
      <c r="D794" s="47" t="s">
        <v>1434</v>
      </c>
      <c r="E794" s="47" t="s">
        <v>1481</v>
      </c>
      <c r="F794" s="47"/>
      <c r="G794" s="47" t="s">
        <v>1687</v>
      </c>
      <c r="H794" s="47" t="s">
        <v>5987</v>
      </c>
      <c r="I794" s="50" t="s">
        <v>5988</v>
      </c>
      <c r="J794" s="50" t="s">
        <v>5989</v>
      </c>
      <c r="K794" s="50" t="s">
        <v>5990</v>
      </c>
      <c r="L794" s="50" t="s">
        <v>1504</v>
      </c>
      <c r="M794" s="50" t="s">
        <v>5991</v>
      </c>
      <c r="N794" s="50" t="s">
        <v>1641</v>
      </c>
      <c r="O794" s="47" t="s">
        <v>5992</v>
      </c>
      <c r="P794" s="47" t="s">
        <v>5993</v>
      </c>
      <c r="Q794" s="47" t="s">
        <v>1695</v>
      </c>
      <c r="R794" s="47" t="s">
        <v>1463</v>
      </c>
      <c r="S794" s="43"/>
      <c r="T794" s="49">
        <v>45392</v>
      </c>
    </row>
    <row r="795" spans="1:20" ht="26.45">
      <c r="A795" s="44" t="s">
        <v>328</v>
      </c>
      <c r="B795" s="44" t="s">
        <v>5994</v>
      </c>
      <c r="C795" s="45" t="s">
        <v>1031</v>
      </c>
      <c r="D795" s="44" t="s">
        <v>1419</v>
      </c>
      <c r="E795" s="44" t="s">
        <v>1481</v>
      </c>
      <c r="F795" s="44"/>
      <c r="G795" s="44" t="s">
        <v>1466</v>
      </c>
      <c r="H795" s="44" t="s">
        <v>5995</v>
      </c>
      <c r="I795" s="46" t="s">
        <v>5996</v>
      </c>
      <c r="J795" s="46" t="s">
        <v>5997</v>
      </c>
      <c r="K795" s="46" t="s">
        <v>1493</v>
      </c>
      <c r="L795" s="46" t="s">
        <v>1474</v>
      </c>
      <c r="M795" s="46" t="s">
        <v>5998</v>
      </c>
      <c r="N795" s="46" t="s">
        <v>1629</v>
      </c>
      <c r="O795" s="44" t="s">
        <v>5999</v>
      </c>
      <c r="P795" s="44" t="s">
        <v>6000</v>
      </c>
      <c r="Q795" s="44" t="s">
        <v>1463</v>
      </c>
      <c r="R795" s="44" t="s">
        <v>1463</v>
      </c>
      <c r="S795" s="43"/>
      <c r="T795" s="51">
        <v>45630</v>
      </c>
    </row>
    <row r="796" spans="1:20" ht="26.45">
      <c r="A796" s="47" t="s">
        <v>329</v>
      </c>
      <c r="B796" s="47" t="s">
        <v>6001</v>
      </c>
      <c r="C796" s="48" t="s">
        <v>1032</v>
      </c>
      <c r="D796" s="47" t="s">
        <v>1419</v>
      </c>
      <c r="E796" s="47" t="s">
        <v>1481</v>
      </c>
      <c r="F796" s="47"/>
      <c r="G796" s="47" t="s">
        <v>1466</v>
      </c>
      <c r="H796" s="47" t="s">
        <v>6002</v>
      </c>
      <c r="I796" s="50" t="s">
        <v>1032</v>
      </c>
      <c r="J796" s="50" t="s">
        <v>6003</v>
      </c>
      <c r="K796" s="50" t="s">
        <v>1493</v>
      </c>
      <c r="L796" s="50" t="s">
        <v>1474</v>
      </c>
      <c r="M796" s="50" t="s">
        <v>6004</v>
      </c>
      <c r="N796" s="50" t="s">
        <v>1641</v>
      </c>
      <c r="O796" s="47" t="s">
        <v>6005</v>
      </c>
      <c r="P796" s="47" t="s">
        <v>6006</v>
      </c>
      <c r="Q796" s="47" t="s">
        <v>1463</v>
      </c>
      <c r="R796" s="47" t="s">
        <v>1463</v>
      </c>
      <c r="S796" s="43"/>
      <c r="T796" s="49">
        <v>45692</v>
      </c>
    </row>
    <row r="797" spans="1:20" ht="26.45">
      <c r="A797" s="44" t="s">
        <v>6007</v>
      </c>
      <c r="B797" s="44" t="s">
        <v>6008</v>
      </c>
      <c r="C797" s="45" t="s">
        <v>6009</v>
      </c>
      <c r="D797" s="44" t="s">
        <v>1414</v>
      </c>
      <c r="E797" s="44" t="s">
        <v>1481</v>
      </c>
      <c r="F797" s="44"/>
      <c r="G797" s="44" t="s">
        <v>1490</v>
      </c>
      <c r="H797" s="44" t="s">
        <v>6010</v>
      </c>
      <c r="I797" s="46" t="s">
        <v>6009</v>
      </c>
      <c r="J797" s="46" t="s">
        <v>6011</v>
      </c>
      <c r="K797" s="46" t="s">
        <v>2764</v>
      </c>
      <c r="L797" s="46" t="s">
        <v>1504</v>
      </c>
      <c r="M797" s="46" t="s">
        <v>6012</v>
      </c>
      <c r="N797" s="46" t="s">
        <v>1495</v>
      </c>
      <c r="O797" s="44"/>
      <c r="P797" s="44"/>
      <c r="Q797" s="44" t="s">
        <v>1463</v>
      </c>
      <c r="R797" s="44" t="s">
        <v>1463</v>
      </c>
      <c r="S797" s="43"/>
      <c r="T797" s="44"/>
    </row>
    <row r="798" spans="1:20">
      <c r="A798" s="47" t="s">
        <v>6013</v>
      </c>
      <c r="B798" s="47"/>
      <c r="C798" s="48" t="s">
        <v>6014</v>
      </c>
      <c r="D798" s="47" t="s">
        <v>1420</v>
      </c>
      <c r="E798" s="47" t="s">
        <v>1460</v>
      </c>
      <c r="F798" s="49">
        <v>41474.6458051273</v>
      </c>
      <c r="G798" s="47" t="s">
        <v>1466</v>
      </c>
      <c r="H798" s="47"/>
      <c r="I798" s="50"/>
      <c r="J798" s="50"/>
      <c r="K798" s="50"/>
      <c r="L798" s="50"/>
      <c r="M798" s="50"/>
      <c r="N798" s="50"/>
      <c r="O798" s="47"/>
      <c r="P798" s="47"/>
      <c r="Q798" s="47" t="s">
        <v>1463</v>
      </c>
      <c r="R798" s="47" t="s">
        <v>1463</v>
      </c>
      <c r="S798" s="43"/>
      <c r="T798" s="47"/>
    </row>
    <row r="799" spans="1:20" ht="26.45">
      <c r="A799" s="44" t="s">
        <v>330</v>
      </c>
      <c r="B799" s="44" t="s">
        <v>6015</v>
      </c>
      <c r="C799" s="45" t="s">
        <v>1033</v>
      </c>
      <c r="D799" s="44" t="s">
        <v>1420</v>
      </c>
      <c r="E799" s="44" t="s">
        <v>1481</v>
      </c>
      <c r="F799" s="44"/>
      <c r="G799" s="44" t="s">
        <v>1466</v>
      </c>
      <c r="H799" s="44" t="s">
        <v>6016</v>
      </c>
      <c r="I799" s="46" t="s">
        <v>1033</v>
      </c>
      <c r="J799" s="46" t="s">
        <v>6017</v>
      </c>
      <c r="K799" s="46" t="s">
        <v>3185</v>
      </c>
      <c r="L799" s="46" t="s">
        <v>1504</v>
      </c>
      <c r="M799" s="46" t="s">
        <v>6018</v>
      </c>
      <c r="N799" s="46" t="s">
        <v>1531</v>
      </c>
      <c r="O799" s="44" t="s">
        <v>6019</v>
      </c>
      <c r="P799" s="44" t="s">
        <v>6020</v>
      </c>
      <c r="Q799" s="44" t="s">
        <v>1463</v>
      </c>
      <c r="R799" s="44" t="s">
        <v>1463</v>
      </c>
      <c r="S799" s="43"/>
      <c r="T799" s="51">
        <v>45672</v>
      </c>
    </row>
    <row r="800" spans="1:20" ht="26.45">
      <c r="A800" s="47" t="s">
        <v>1034</v>
      </c>
      <c r="B800" s="47" t="s">
        <v>6021</v>
      </c>
      <c r="C800" s="48" t="s">
        <v>1035</v>
      </c>
      <c r="D800" s="47" t="s">
        <v>1420</v>
      </c>
      <c r="E800" s="47" t="s">
        <v>1481</v>
      </c>
      <c r="F800" s="47"/>
      <c r="G800" s="47" t="s">
        <v>1687</v>
      </c>
      <c r="H800" s="47" t="s">
        <v>6022</v>
      </c>
      <c r="I800" s="50" t="s">
        <v>1035</v>
      </c>
      <c r="J800" s="50" t="s">
        <v>6023</v>
      </c>
      <c r="K800" s="50" t="s">
        <v>1473</v>
      </c>
      <c r="L800" s="50" t="s">
        <v>1474</v>
      </c>
      <c r="M800" s="50" t="s">
        <v>6024</v>
      </c>
      <c r="N800" s="50" t="s">
        <v>1476</v>
      </c>
      <c r="O800" s="47" t="s">
        <v>6025</v>
      </c>
      <c r="P800" s="47" t="s">
        <v>6026</v>
      </c>
      <c r="Q800" s="47" t="s">
        <v>1695</v>
      </c>
      <c r="R800" s="47" t="s">
        <v>1463</v>
      </c>
      <c r="S800" s="43"/>
      <c r="T800" s="49">
        <v>45496</v>
      </c>
    </row>
    <row r="801" spans="1:20">
      <c r="A801" s="44" t="s">
        <v>6027</v>
      </c>
      <c r="B801" s="44" t="s">
        <v>6028</v>
      </c>
      <c r="C801" s="45" t="s">
        <v>6029</v>
      </c>
      <c r="D801" s="44" t="s">
        <v>1419</v>
      </c>
      <c r="E801" s="44" t="s">
        <v>1481</v>
      </c>
      <c r="F801" s="44"/>
      <c r="G801" s="44" t="s">
        <v>1466</v>
      </c>
      <c r="H801" s="44" t="s">
        <v>6030</v>
      </c>
      <c r="I801" s="46" t="s">
        <v>6029</v>
      </c>
      <c r="J801" s="46"/>
      <c r="K801" s="46"/>
      <c r="L801" s="46"/>
      <c r="M801" s="46"/>
      <c r="N801" s="46"/>
      <c r="O801" s="44" t="s">
        <v>6031</v>
      </c>
      <c r="P801" s="44"/>
      <c r="Q801" s="44" t="s">
        <v>1463</v>
      </c>
      <c r="R801" s="44" t="s">
        <v>1463</v>
      </c>
      <c r="S801" s="43"/>
      <c r="T801" s="44"/>
    </row>
    <row r="802" spans="1:20" ht="26.45">
      <c r="A802" s="47" t="s">
        <v>331</v>
      </c>
      <c r="B802" s="47" t="s">
        <v>6032</v>
      </c>
      <c r="C802" s="48" t="s">
        <v>1036</v>
      </c>
      <c r="D802" s="47" t="s">
        <v>1419</v>
      </c>
      <c r="E802" s="47" t="s">
        <v>1481</v>
      </c>
      <c r="F802" s="47"/>
      <c r="G802" s="47" t="s">
        <v>1687</v>
      </c>
      <c r="H802" s="47" t="s">
        <v>6033</v>
      </c>
      <c r="I802" s="50" t="s">
        <v>6034</v>
      </c>
      <c r="J802" s="50" t="s">
        <v>6035</v>
      </c>
      <c r="K802" s="50" t="s">
        <v>1419</v>
      </c>
      <c r="L802" s="50" t="s">
        <v>1504</v>
      </c>
      <c r="M802" s="50" t="s">
        <v>6036</v>
      </c>
      <c r="N802" s="50" t="s">
        <v>1495</v>
      </c>
      <c r="O802" s="47" t="s">
        <v>6037</v>
      </c>
      <c r="P802" s="47" t="s">
        <v>6038</v>
      </c>
      <c r="Q802" s="47" t="s">
        <v>1695</v>
      </c>
      <c r="R802" s="47" t="s">
        <v>1463</v>
      </c>
      <c r="S802" s="43"/>
      <c r="T802" s="49">
        <v>45398</v>
      </c>
    </row>
    <row r="803" spans="1:20">
      <c r="A803" s="44" t="s">
        <v>6039</v>
      </c>
      <c r="B803" s="44" t="s">
        <v>6040</v>
      </c>
      <c r="C803" s="45" t="s">
        <v>6041</v>
      </c>
      <c r="D803" s="44" t="s">
        <v>1434</v>
      </c>
      <c r="E803" s="44" t="s">
        <v>1481</v>
      </c>
      <c r="F803" s="44"/>
      <c r="G803" s="44" t="s">
        <v>1461</v>
      </c>
      <c r="H803" s="44"/>
      <c r="I803" s="46" t="s">
        <v>6041</v>
      </c>
      <c r="J803" s="46"/>
      <c r="K803" s="46"/>
      <c r="L803" s="46"/>
      <c r="M803" s="46"/>
      <c r="N803" s="46"/>
      <c r="O803" s="44"/>
      <c r="P803" s="44"/>
      <c r="Q803" s="44" t="s">
        <v>1463</v>
      </c>
      <c r="R803" s="44" t="s">
        <v>1463</v>
      </c>
      <c r="S803" s="43"/>
      <c r="T803" s="44"/>
    </row>
    <row r="804" spans="1:20" ht="26.45">
      <c r="A804" s="47" t="s">
        <v>332</v>
      </c>
      <c r="B804" s="47" t="s">
        <v>6042</v>
      </c>
      <c r="C804" s="48" t="s">
        <v>1037</v>
      </c>
      <c r="D804" s="47" t="s">
        <v>1416</v>
      </c>
      <c r="E804" s="47" t="s">
        <v>1481</v>
      </c>
      <c r="F804" s="47"/>
      <c r="G804" s="47" t="s">
        <v>1466</v>
      </c>
      <c r="H804" s="47" t="s">
        <v>6043</v>
      </c>
      <c r="I804" s="50" t="s">
        <v>6044</v>
      </c>
      <c r="J804" s="50" t="s">
        <v>6045</v>
      </c>
      <c r="K804" s="50" t="s">
        <v>2736</v>
      </c>
      <c r="L804" s="50" t="s">
        <v>1474</v>
      </c>
      <c r="M804" s="50" t="s">
        <v>6046</v>
      </c>
      <c r="N804" s="50" t="s">
        <v>1516</v>
      </c>
      <c r="O804" s="47" t="s">
        <v>6047</v>
      </c>
      <c r="P804" s="47" t="s">
        <v>6048</v>
      </c>
      <c r="Q804" s="47" t="s">
        <v>1463</v>
      </c>
      <c r="R804" s="47" t="s">
        <v>1463</v>
      </c>
      <c r="S804" s="43"/>
      <c r="T804" s="49">
        <v>45342</v>
      </c>
    </row>
    <row r="805" spans="1:20" ht="26.45">
      <c r="A805" s="44" t="s">
        <v>1038</v>
      </c>
      <c r="B805" s="44" t="s">
        <v>6049</v>
      </c>
      <c r="C805" s="45" t="s">
        <v>1039</v>
      </c>
      <c r="D805" s="44" t="s">
        <v>1416</v>
      </c>
      <c r="E805" s="44" t="s">
        <v>1481</v>
      </c>
      <c r="F805" s="44"/>
      <c r="G805" s="44" t="s">
        <v>1466</v>
      </c>
      <c r="H805" s="44" t="s">
        <v>6050</v>
      </c>
      <c r="I805" s="46" t="s">
        <v>6051</v>
      </c>
      <c r="J805" s="46" t="s">
        <v>6052</v>
      </c>
      <c r="K805" s="46" t="s">
        <v>2736</v>
      </c>
      <c r="L805" s="46" t="s">
        <v>1474</v>
      </c>
      <c r="M805" s="46" t="s">
        <v>6046</v>
      </c>
      <c r="N805" s="46" t="s">
        <v>1516</v>
      </c>
      <c r="O805" s="44" t="s">
        <v>6053</v>
      </c>
      <c r="P805" s="44" t="s">
        <v>6054</v>
      </c>
      <c r="Q805" s="44" t="s">
        <v>1463</v>
      </c>
      <c r="R805" s="44" t="s">
        <v>1463</v>
      </c>
      <c r="S805" s="43"/>
      <c r="T805" s="51">
        <v>45335</v>
      </c>
    </row>
    <row r="806" spans="1:20" ht="26.45">
      <c r="A806" s="47" t="s">
        <v>6055</v>
      </c>
      <c r="B806" s="47" t="s">
        <v>6056</v>
      </c>
      <c r="C806" s="48" t="s">
        <v>6057</v>
      </c>
      <c r="D806" s="47" t="s">
        <v>1416</v>
      </c>
      <c r="E806" s="47" t="s">
        <v>1481</v>
      </c>
      <c r="F806" s="47"/>
      <c r="G806" s="47" t="s">
        <v>1663</v>
      </c>
      <c r="H806" s="47" t="s">
        <v>6058</v>
      </c>
      <c r="I806" s="50" t="s">
        <v>6057</v>
      </c>
      <c r="J806" s="50" t="s">
        <v>6059</v>
      </c>
      <c r="K806" s="50" t="s">
        <v>6060</v>
      </c>
      <c r="L806" s="50" t="s">
        <v>1504</v>
      </c>
      <c r="M806" s="50" t="s">
        <v>6061</v>
      </c>
      <c r="N806" s="50" t="s">
        <v>1476</v>
      </c>
      <c r="O806" s="47" t="s">
        <v>2262</v>
      </c>
      <c r="P806" s="47"/>
      <c r="Q806" s="47" t="s">
        <v>1695</v>
      </c>
      <c r="R806" s="47" t="s">
        <v>1463</v>
      </c>
      <c r="S806" s="43"/>
      <c r="T806" s="49">
        <v>42986</v>
      </c>
    </row>
    <row r="807" spans="1:20" ht="26.45">
      <c r="A807" s="44" t="s">
        <v>1040</v>
      </c>
      <c r="B807" s="44" t="s">
        <v>6062</v>
      </c>
      <c r="C807" s="45" t="s">
        <v>1041</v>
      </c>
      <c r="D807" s="44" t="s">
        <v>1416</v>
      </c>
      <c r="E807" s="44" t="s">
        <v>1481</v>
      </c>
      <c r="F807" s="44"/>
      <c r="G807" s="44" t="s">
        <v>1663</v>
      </c>
      <c r="H807" s="44" t="s">
        <v>6063</v>
      </c>
      <c r="I807" s="46" t="s">
        <v>6064</v>
      </c>
      <c r="J807" s="46" t="s">
        <v>6065</v>
      </c>
      <c r="K807" s="46" t="s">
        <v>3421</v>
      </c>
      <c r="L807" s="46" t="s">
        <v>1504</v>
      </c>
      <c r="M807" s="46" t="s">
        <v>6061</v>
      </c>
      <c r="N807" s="46" t="s">
        <v>1476</v>
      </c>
      <c r="O807" s="44" t="s">
        <v>6066</v>
      </c>
      <c r="P807" s="44" t="s">
        <v>6067</v>
      </c>
      <c r="Q807" s="44" t="s">
        <v>1463</v>
      </c>
      <c r="R807" s="44" t="s">
        <v>1463</v>
      </c>
      <c r="S807" s="43"/>
      <c r="T807" s="51">
        <v>45510</v>
      </c>
    </row>
    <row r="808" spans="1:20">
      <c r="A808" s="47" t="s">
        <v>1042</v>
      </c>
      <c r="B808" s="47" t="s">
        <v>6068</v>
      </c>
      <c r="C808" s="48" t="s">
        <v>1043</v>
      </c>
      <c r="D808" s="47" t="s">
        <v>1416</v>
      </c>
      <c r="E808" s="47" t="s">
        <v>1460</v>
      </c>
      <c r="F808" s="49">
        <v>43227.97371875</v>
      </c>
      <c r="G808" s="47" t="s">
        <v>1687</v>
      </c>
      <c r="H808" s="47"/>
      <c r="I808" s="50"/>
      <c r="J808" s="50"/>
      <c r="K808" s="50"/>
      <c r="L808" s="50"/>
      <c r="M808" s="50"/>
      <c r="N808" s="50"/>
      <c r="O808" s="47"/>
      <c r="P808" s="47"/>
      <c r="Q808" s="47" t="s">
        <v>1463</v>
      </c>
      <c r="R808" s="47" t="s">
        <v>1463</v>
      </c>
      <c r="S808" s="43"/>
      <c r="T808" s="47"/>
    </row>
    <row r="809" spans="1:20" ht="26.45">
      <c r="A809" s="44" t="s">
        <v>333</v>
      </c>
      <c r="B809" s="44" t="s">
        <v>6069</v>
      </c>
      <c r="C809" s="45" t="s">
        <v>1044</v>
      </c>
      <c r="D809" s="44" t="s">
        <v>1416</v>
      </c>
      <c r="E809" s="44" t="s">
        <v>1481</v>
      </c>
      <c r="F809" s="44"/>
      <c r="G809" s="44" t="s">
        <v>1687</v>
      </c>
      <c r="H809" s="44" t="s">
        <v>6070</v>
      </c>
      <c r="I809" s="46" t="s">
        <v>6071</v>
      </c>
      <c r="J809" s="46" t="s">
        <v>6072</v>
      </c>
      <c r="K809" s="46" t="s">
        <v>6073</v>
      </c>
      <c r="L809" s="46" t="s">
        <v>1474</v>
      </c>
      <c r="M809" s="46" t="s">
        <v>6074</v>
      </c>
      <c r="N809" s="46" t="s">
        <v>1476</v>
      </c>
      <c r="O809" s="44" t="s">
        <v>6075</v>
      </c>
      <c r="P809" s="44" t="s">
        <v>6076</v>
      </c>
      <c r="Q809" s="44" t="s">
        <v>1695</v>
      </c>
      <c r="R809" s="44" t="s">
        <v>1463</v>
      </c>
      <c r="S809" s="43"/>
      <c r="T809" s="51">
        <v>45581</v>
      </c>
    </row>
    <row r="810" spans="1:20" ht="26.45">
      <c r="A810" s="47" t="s">
        <v>334</v>
      </c>
      <c r="B810" s="47" t="s">
        <v>6077</v>
      </c>
      <c r="C810" s="48" t="s">
        <v>1045</v>
      </c>
      <c r="D810" s="47" t="s">
        <v>1425</v>
      </c>
      <c r="E810" s="47" t="s">
        <v>1481</v>
      </c>
      <c r="F810" s="47"/>
      <c r="G810" s="47" t="s">
        <v>1687</v>
      </c>
      <c r="H810" s="47" t="s">
        <v>6078</v>
      </c>
      <c r="I810" s="50" t="s">
        <v>6079</v>
      </c>
      <c r="J810" s="50" t="s">
        <v>6080</v>
      </c>
      <c r="K810" s="50" t="s">
        <v>6081</v>
      </c>
      <c r="L810" s="50" t="s">
        <v>1474</v>
      </c>
      <c r="M810" s="50" t="s">
        <v>6082</v>
      </c>
      <c r="N810" s="50" t="s">
        <v>1476</v>
      </c>
      <c r="O810" s="47" t="s">
        <v>6083</v>
      </c>
      <c r="P810" s="47" t="s">
        <v>6084</v>
      </c>
      <c r="Q810" s="47" t="s">
        <v>1695</v>
      </c>
      <c r="R810" s="47" t="s">
        <v>1463</v>
      </c>
      <c r="S810" s="43"/>
      <c r="T810" s="49">
        <v>45602</v>
      </c>
    </row>
    <row r="811" spans="1:20" ht="26.45">
      <c r="A811" s="44" t="s">
        <v>335</v>
      </c>
      <c r="B811" s="44" t="s">
        <v>6085</v>
      </c>
      <c r="C811" s="45" t="s">
        <v>1046</v>
      </c>
      <c r="D811" s="44" t="s">
        <v>1419</v>
      </c>
      <c r="E811" s="44" t="s">
        <v>1481</v>
      </c>
      <c r="F811" s="44"/>
      <c r="G811" s="44" t="s">
        <v>1466</v>
      </c>
      <c r="H811" s="44" t="s">
        <v>6086</v>
      </c>
      <c r="I811" s="46" t="s">
        <v>6087</v>
      </c>
      <c r="J811" s="46" t="s">
        <v>6088</v>
      </c>
      <c r="K811" s="46" t="s">
        <v>6089</v>
      </c>
      <c r="L811" s="46" t="s">
        <v>1504</v>
      </c>
      <c r="M811" s="46" t="s">
        <v>6090</v>
      </c>
      <c r="N811" s="46" t="s">
        <v>1641</v>
      </c>
      <c r="O811" s="44" t="s">
        <v>6091</v>
      </c>
      <c r="P811" s="44" t="s">
        <v>6092</v>
      </c>
      <c r="Q811" s="44" t="s">
        <v>1463</v>
      </c>
      <c r="R811" s="44" t="s">
        <v>1463</v>
      </c>
      <c r="S811" s="43"/>
      <c r="T811" s="51">
        <v>45456</v>
      </c>
    </row>
    <row r="812" spans="1:20" ht="26.45">
      <c r="A812" s="47" t="s">
        <v>336</v>
      </c>
      <c r="B812" s="47" t="s">
        <v>6093</v>
      </c>
      <c r="C812" s="48" t="s">
        <v>1047</v>
      </c>
      <c r="D812" s="47" t="s">
        <v>1419</v>
      </c>
      <c r="E812" s="47" t="s">
        <v>1481</v>
      </c>
      <c r="F812" s="47"/>
      <c r="G812" s="47" t="s">
        <v>1466</v>
      </c>
      <c r="H812" s="47" t="s">
        <v>6094</v>
      </c>
      <c r="I812" s="50" t="s">
        <v>6095</v>
      </c>
      <c r="J812" s="50" t="s">
        <v>6096</v>
      </c>
      <c r="K812" s="50" t="s">
        <v>1493</v>
      </c>
      <c r="L812" s="50" t="s">
        <v>1504</v>
      </c>
      <c r="M812" s="50" t="s">
        <v>6097</v>
      </c>
      <c r="N812" s="50" t="s">
        <v>1516</v>
      </c>
      <c r="O812" s="47" t="s">
        <v>6098</v>
      </c>
      <c r="P812" s="47" t="s">
        <v>6099</v>
      </c>
      <c r="Q812" s="47" t="s">
        <v>1463</v>
      </c>
      <c r="R812" s="47" t="s">
        <v>1463</v>
      </c>
      <c r="S812" s="43"/>
      <c r="T812" s="49">
        <v>45630</v>
      </c>
    </row>
    <row r="813" spans="1:20" ht="26.45">
      <c r="A813" s="44" t="s">
        <v>337</v>
      </c>
      <c r="B813" s="44" t="s">
        <v>6100</v>
      </c>
      <c r="C813" s="45" t="s">
        <v>1048</v>
      </c>
      <c r="D813" s="44" t="s">
        <v>1419</v>
      </c>
      <c r="E813" s="44" t="s">
        <v>1481</v>
      </c>
      <c r="F813" s="44"/>
      <c r="G813" s="44" t="s">
        <v>1466</v>
      </c>
      <c r="H813" s="44" t="s">
        <v>6101</v>
      </c>
      <c r="I813" s="46" t="s">
        <v>6102</v>
      </c>
      <c r="J813" s="46" t="s">
        <v>6103</v>
      </c>
      <c r="K813" s="46" t="s">
        <v>1503</v>
      </c>
      <c r="L813" s="46" t="s">
        <v>1474</v>
      </c>
      <c r="M813" s="46" t="s">
        <v>6104</v>
      </c>
      <c r="N813" s="46" t="s">
        <v>1476</v>
      </c>
      <c r="O813" s="44" t="s">
        <v>6105</v>
      </c>
      <c r="P813" s="44" t="s">
        <v>6106</v>
      </c>
      <c r="Q813" s="44" t="s">
        <v>1463</v>
      </c>
      <c r="R813" s="44" t="s">
        <v>1463</v>
      </c>
      <c r="S813" s="43"/>
      <c r="T813" s="51">
        <v>45407</v>
      </c>
    </row>
    <row r="814" spans="1:20">
      <c r="A814" s="47" t="s">
        <v>6107</v>
      </c>
      <c r="B814" s="47" t="s">
        <v>6108</v>
      </c>
      <c r="C814" s="48" t="s">
        <v>6109</v>
      </c>
      <c r="D814" s="47" t="s">
        <v>1419</v>
      </c>
      <c r="E814" s="47" t="s">
        <v>1460</v>
      </c>
      <c r="F814" s="49">
        <v>44362.8958927083</v>
      </c>
      <c r="G814" s="47" t="s">
        <v>1466</v>
      </c>
      <c r="H814" s="47" t="s">
        <v>6110</v>
      </c>
      <c r="I814" s="50" t="s">
        <v>6111</v>
      </c>
      <c r="J814" s="50" t="s">
        <v>6112</v>
      </c>
      <c r="K814" s="50" t="s">
        <v>1503</v>
      </c>
      <c r="L814" s="50" t="s">
        <v>1504</v>
      </c>
      <c r="M814" s="50" t="s">
        <v>6113</v>
      </c>
      <c r="N814" s="50" t="s">
        <v>1744</v>
      </c>
      <c r="O814" s="47" t="s">
        <v>6114</v>
      </c>
      <c r="P814" s="47"/>
      <c r="Q814" s="47" t="s">
        <v>1463</v>
      </c>
      <c r="R814" s="47" t="s">
        <v>1463</v>
      </c>
      <c r="S814" s="43"/>
      <c r="T814" s="49">
        <v>44720</v>
      </c>
    </row>
    <row r="815" spans="1:20" ht="26.45">
      <c r="A815" s="44" t="s">
        <v>6115</v>
      </c>
      <c r="B815" s="44" t="s">
        <v>6116</v>
      </c>
      <c r="C815" s="45" t="s">
        <v>6117</v>
      </c>
      <c r="D815" s="44" t="s">
        <v>1414</v>
      </c>
      <c r="E815" s="44" t="s">
        <v>1481</v>
      </c>
      <c r="F815" s="44"/>
      <c r="G815" s="44" t="s">
        <v>1466</v>
      </c>
      <c r="H815" s="44" t="s">
        <v>6118</v>
      </c>
      <c r="I815" s="46" t="s">
        <v>6117</v>
      </c>
      <c r="J815" s="46"/>
      <c r="K815" s="46"/>
      <c r="L815" s="46"/>
      <c r="M815" s="46"/>
      <c r="N815" s="46"/>
      <c r="O815" s="44" t="s">
        <v>2262</v>
      </c>
      <c r="P815" s="44"/>
      <c r="Q815" s="44" t="s">
        <v>1463</v>
      </c>
      <c r="R815" s="44" t="s">
        <v>1463</v>
      </c>
      <c r="S815" s="43"/>
      <c r="T815" s="44"/>
    </row>
    <row r="816" spans="1:20">
      <c r="A816" s="47" t="s">
        <v>6119</v>
      </c>
      <c r="B816" s="47" t="s">
        <v>6120</v>
      </c>
      <c r="C816" s="48" t="s">
        <v>6121</v>
      </c>
      <c r="D816" s="47" t="s">
        <v>1410</v>
      </c>
      <c r="E816" s="47" t="s">
        <v>1481</v>
      </c>
      <c r="F816" s="47"/>
      <c r="G816" s="47" t="s">
        <v>1461</v>
      </c>
      <c r="H816" s="47"/>
      <c r="I816" s="50"/>
      <c r="J816" s="50"/>
      <c r="K816" s="50"/>
      <c r="L816" s="50"/>
      <c r="M816" s="50"/>
      <c r="N816" s="50"/>
      <c r="O816" s="47"/>
      <c r="P816" s="47"/>
      <c r="Q816" s="47" t="s">
        <v>1463</v>
      </c>
      <c r="R816" s="47" t="s">
        <v>1463</v>
      </c>
      <c r="S816" s="43"/>
      <c r="T816" s="47"/>
    </row>
    <row r="817" spans="1:20" ht="26.45">
      <c r="A817" s="44" t="s">
        <v>338</v>
      </c>
      <c r="B817" s="44" t="s">
        <v>6122</v>
      </c>
      <c r="C817" s="45" t="s">
        <v>1049</v>
      </c>
      <c r="D817" s="44" t="s">
        <v>1435</v>
      </c>
      <c r="E817" s="44" t="s">
        <v>1481</v>
      </c>
      <c r="F817" s="44"/>
      <c r="G817" s="44" t="s">
        <v>1687</v>
      </c>
      <c r="H817" s="44" t="s">
        <v>6123</v>
      </c>
      <c r="I817" s="46" t="s">
        <v>6124</v>
      </c>
      <c r="J817" s="46" t="s">
        <v>6125</v>
      </c>
      <c r="K817" s="46" t="s">
        <v>6126</v>
      </c>
      <c r="L817" s="46" t="s">
        <v>1474</v>
      </c>
      <c r="M817" s="46" t="s">
        <v>6127</v>
      </c>
      <c r="N817" s="46" t="s">
        <v>1525</v>
      </c>
      <c r="O817" s="44" t="s">
        <v>6128</v>
      </c>
      <c r="P817" s="44" t="s">
        <v>6129</v>
      </c>
      <c r="Q817" s="44" t="s">
        <v>1695</v>
      </c>
      <c r="R817" s="44" t="s">
        <v>1463</v>
      </c>
      <c r="S817" s="43"/>
      <c r="T817" s="51">
        <v>45351</v>
      </c>
    </row>
    <row r="818" spans="1:20" ht="26.45">
      <c r="A818" s="47" t="s">
        <v>339</v>
      </c>
      <c r="B818" s="47" t="s">
        <v>6130</v>
      </c>
      <c r="C818" s="48" t="s">
        <v>1050</v>
      </c>
      <c r="D818" s="47" t="s">
        <v>1419</v>
      </c>
      <c r="E818" s="47" t="s">
        <v>1481</v>
      </c>
      <c r="F818" s="47"/>
      <c r="G818" s="47" t="s">
        <v>1466</v>
      </c>
      <c r="H818" s="47" t="s">
        <v>6131</v>
      </c>
      <c r="I818" s="50" t="s">
        <v>6132</v>
      </c>
      <c r="J818" s="50" t="s">
        <v>6133</v>
      </c>
      <c r="K818" s="50" t="s">
        <v>1493</v>
      </c>
      <c r="L818" s="50" t="s">
        <v>1474</v>
      </c>
      <c r="M818" s="50" t="s">
        <v>6134</v>
      </c>
      <c r="N818" s="50" t="s">
        <v>1495</v>
      </c>
      <c r="O818" s="47" t="s">
        <v>6135</v>
      </c>
      <c r="P818" s="47" t="s">
        <v>6136</v>
      </c>
      <c r="Q818" s="47" t="s">
        <v>1463</v>
      </c>
      <c r="R818" s="47" t="s">
        <v>1463</v>
      </c>
      <c r="S818" s="43"/>
      <c r="T818" s="49">
        <v>45527</v>
      </c>
    </row>
    <row r="819" spans="1:20" ht="26.45">
      <c r="A819" s="44" t="s">
        <v>6137</v>
      </c>
      <c r="B819" s="44" t="s">
        <v>6138</v>
      </c>
      <c r="C819" s="45" t="s">
        <v>1050</v>
      </c>
      <c r="D819" s="44" t="s">
        <v>1419</v>
      </c>
      <c r="E819" s="44" t="s">
        <v>1481</v>
      </c>
      <c r="F819" s="44"/>
      <c r="G819" s="44" t="s">
        <v>1466</v>
      </c>
      <c r="H819" s="44" t="s">
        <v>6139</v>
      </c>
      <c r="I819" s="46" t="s">
        <v>6140</v>
      </c>
      <c r="J819" s="46" t="s">
        <v>6141</v>
      </c>
      <c r="K819" s="46" t="s">
        <v>1493</v>
      </c>
      <c r="L819" s="46" t="s">
        <v>1474</v>
      </c>
      <c r="M819" s="46" t="s">
        <v>6134</v>
      </c>
      <c r="N819" s="46" t="s">
        <v>1629</v>
      </c>
      <c r="O819" s="44"/>
      <c r="P819" s="44" t="s">
        <v>6142</v>
      </c>
      <c r="Q819" s="44" t="s">
        <v>1463</v>
      </c>
      <c r="R819" s="44" t="s">
        <v>1463</v>
      </c>
      <c r="S819" s="43"/>
      <c r="T819" s="51">
        <v>45583</v>
      </c>
    </row>
    <row r="820" spans="1:20" ht="26.45">
      <c r="A820" s="47" t="s">
        <v>340</v>
      </c>
      <c r="B820" s="47" t="s">
        <v>6143</v>
      </c>
      <c r="C820" s="48" t="s">
        <v>1050</v>
      </c>
      <c r="D820" s="47" t="s">
        <v>1419</v>
      </c>
      <c r="E820" s="47" t="s">
        <v>1481</v>
      </c>
      <c r="F820" s="47"/>
      <c r="G820" s="47" t="s">
        <v>1466</v>
      </c>
      <c r="H820" s="47" t="s">
        <v>6144</v>
      </c>
      <c r="I820" s="50" t="s">
        <v>6145</v>
      </c>
      <c r="J820" s="50" t="s">
        <v>6141</v>
      </c>
      <c r="K820" s="50" t="s">
        <v>1493</v>
      </c>
      <c r="L820" s="50" t="s">
        <v>1474</v>
      </c>
      <c r="M820" s="50" t="s">
        <v>6134</v>
      </c>
      <c r="N820" s="50" t="s">
        <v>1629</v>
      </c>
      <c r="O820" s="47" t="s">
        <v>6135</v>
      </c>
      <c r="P820" s="47" t="s">
        <v>6146</v>
      </c>
      <c r="Q820" s="47" t="s">
        <v>1463</v>
      </c>
      <c r="R820" s="47" t="s">
        <v>1463</v>
      </c>
      <c r="S820" s="43"/>
      <c r="T820" s="49">
        <v>45529</v>
      </c>
    </row>
    <row r="821" spans="1:20" ht="26.45">
      <c r="A821" s="44" t="s">
        <v>341</v>
      </c>
      <c r="B821" s="44" t="s">
        <v>6147</v>
      </c>
      <c r="C821" s="45" t="s">
        <v>1051</v>
      </c>
      <c r="D821" s="44" t="s">
        <v>1419</v>
      </c>
      <c r="E821" s="44" t="s">
        <v>1481</v>
      </c>
      <c r="F821" s="44"/>
      <c r="G821" s="44" t="s">
        <v>1687</v>
      </c>
      <c r="H821" s="44" t="s">
        <v>6148</v>
      </c>
      <c r="I821" s="46" t="s">
        <v>6149</v>
      </c>
      <c r="J821" s="46" t="s">
        <v>6150</v>
      </c>
      <c r="K821" s="46" t="s">
        <v>6151</v>
      </c>
      <c r="L821" s="46" t="s">
        <v>1474</v>
      </c>
      <c r="M821" s="46" t="s">
        <v>6152</v>
      </c>
      <c r="N821" s="46" t="s">
        <v>1516</v>
      </c>
      <c r="O821" s="44" t="s">
        <v>6153</v>
      </c>
      <c r="P821" s="44" t="s">
        <v>6154</v>
      </c>
      <c r="Q821" s="44" t="s">
        <v>1695</v>
      </c>
      <c r="R821" s="44" t="s">
        <v>1463</v>
      </c>
      <c r="S821" s="43"/>
      <c r="T821" s="51">
        <v>45344</v>
      </c>
    </row>
    <row r="822" spans="1:20" ht="26.45">
      <c r="A822" s="47" t="s">
        <v>6155</v>
      </c>
      <c r="B822" s="47"/>
      <c r="C822" s="48" t="s">
        <v>6156</v>
      </c>
      <c r="D822" s="47" t="s">
        <v>1430</v>
      </c>
      <c r="E822" s="47" t="s">
        <v>1460</v>
      </c>
      <c r="F822" s="49">
        <v>41457.382441585702</v>
      </c>
      <c r="G822" s="47" t="s">
        <v>1466</v>
      </c>
      <c r="H822" s="47"/>
      <c r="I822" s="50"/>
      <c r="J822" s="50"/>
      <c r="K822" s="50"/>
      <c r="L822" s="50"/>
      <c r="M822" s="50"/>
      <c r="N822" s="50"/>
      <c r="O822" s="47"/>
      <c r="P822" s="47"/>
      <c r="Q822" s="47" t="s">
        <v>1463</v>
      </c>
      <c r="R822" s="47" t="s">
        <v>1463</v>
      </c>
      <c r="S822" s="43"/>
      <c r="T822" s="47"/>
    </row>
    <row r="823" spans="1:20" ht="26.45">
      <c r="A823" s="44" t="s">
        <v>6157</v>
      </c>
      <c r="B823" s="44" t="s">
        <v>6158</v>
      </c>
      <c r="C823" s="45" t="s">
        <v>6159</v>
      </c>
      <c r="D823" s="44" t="s">
        <v>1420</v>
      </c>
      <c r="E823" s="44" t="s">
        <v>1481</v>
      </c>
      <c r="F823" s="44"/>
      <c r="G823" s="44" t="s">
        <v>1687</v>
      </c>
      <c r="H823" s="44" t="s">
        <v>6160</v>
      </c>
      <c r="I823" s="46" t="s">
        <v>6161</v>
      </c>
      <c r="J823" s="46" t="s">
        <v>6162</v>
      </c>
      <c r="K823" s="46" t="s">
        <v>3443</v>
      </c>
      <c r="L823" s="46" t="s">
        <v>1504</v>
      </c>
      <c r="M823" s="46" t="s">
        <v>6163</v>
      </c>
      <c r="N823" s="46" t="s">
        <v>1476</v>
      </c>
      <c r="O823" s="44" t="s">
        <v>6164</v>
      </c>
      <c r="P823" s="44" t="s">
        <v>6165</v>
      </c>
      <c r="Q823" s="44" t="s">
        <v>1695</v>
      </c>
      <c r="R823" s="44" t="s">
        <v>1463</v>
      </c>
      <c r="S823" s="43"/>
      <c r="T823" s="51">
        <v>45568</v>
      </c>
    </row>
    <row r="824" spans="1:20" ht="26.45">
      <c r="A824" s="47" t="s">
        <v>342</v>
      </c>
      <c r="B824" s="47" t="s">
        <v>6166</v>
      </c>
      <c r="C824" s="48" t="s">
        <v>1052</v>
      </c>
      <c r="D824" s="47" t="s">
        <v>1420</v>
      </c>
      <c r="E824" s="47" t="s">
        <v>1481</v>
      </c>
      <c r="F824" s="47"/>
      <c r="G824" s="47" t="s">
        <v>1466</v>
      </c>
      <c r="H824" s="47" t="s">
        <v>6167</v>
      </c>
      <c r="I824" s="50" t="s">
        <v>6168</v>
      </c>
      <c r="J824" s="50" t="s">
        <v>6169</v>
      </c>
      <c r="K824" s="50" t="s">
        <v>3443</v>
      </c>
      <c r="L824" s="50" t="s">
        <v>1504</v>
      </c>
      <c r="M824" s="50" t="s">
        <v>6170</v>
      </c>
      <c r="N824" s="50" t="s">
        <v>1531</v>
      </c>
      <c r="O824" s="47" t="s">
        <v>6171</v>
      </c>
      <c r="P824" s="47" t="s">
        <v>6172</v>
      </c>
      <c r="Q824" s="47" t="s">
        <v>1463</v>
      </c>
      <c r="R824" s="47" t="s">
        <v>1463</v>
      </c>
      <c r="S824" s="43"/>
      <c r="T824" s="49">
        <v>45350</v>
      </c>
    </row>
    <row r="825" spans="1:20" ht="26.45">
      <c r="A825" s="44" t="s">
        <v>6173</v>
      </c>
      <c r="B825" s="44" t="s">
        <v>6174</v>
      </c>
      <c r="C825" s="45" t="s">
        <v>6175</v>
      </c>
      <c r="D825" s="44" t="s">
        <v>1414</v>
      </c>
      <c r="E825" s="44" t="s">
        <v>1481</v>
      </c>
      <c r="F825" s="44"/>
      <c r="G825" s="44" t="s">
        <v>1466</v>
      </c>
      <c r="H825" s="44"/>
      <c r="I825" s="46" t="s">
        <v>6176</v>
      </c>
      <c r="J825" s="46" t="s">
        <v>6177</v>
      </c>
      <c r="K825" s="46" t="s">
        <v>1484</v>
      </c>
      <c r="L825" s="46" t="s">
        <v>1504</v>
      </c>
      <c r="M825" s="46" t="s">
        <v>2906</v>
      </c>
      <c r="N825" s="46" t="s">
        <v>1641</v>
      </c>
      <c r="O825" s="44" t="s">
        <v>2262</v>
      </c>
      <c r="P825" s="44"/>
      <c r="Q825" s="44" t="s">
        <v>1463</v>
      </c>
      <c r="R825" s="44" t="s">
        <v>1463</v>
      </c>
      <c r="S825" s="43"/>
      <c r="T825" s="51">
        <v>45232</v>
      </c>
    </row>
    <row r="826" spans="1:20" ht="26.45">
      <c r="A826" s="47" t="s">
        <v>343</v>
      </c>
      <c r="B826" s="47" t="s">
        <v>6178</v>
      </c>
      <c r="C826" s="48" t="s">
        <v>1053</v>
      </c>
      <c r="D826" s="47" t="s">
        <v>1430</v>
      </c>
      <c r="E826" s="47" t="s">
        <v>1481</v>
      </c>
      <c r="F826" s="47"/>
      <c r="G826" s="47" t="s">
        <v>1466</v>
      </c>
      <c r="H826" s="47" t="s">
        <v>6179</v>
      </c>
      <c r="I826" s="50" t="s">
        <v>1053</v>
      </c>
      <c r="J826" s="50" t="s">
        <v>6180</v>
      </c>
      <c r="K826" s="50" t="s">
        <v>2432</v>
      </c>
      <c r="L826" s="50" t="s">
        <v>1504</v>
      </c>
      <c r="M826" s="50" t="s">
        <v>6181</v>
      </c>
      <c r="N826" s="50" t="s">
        <v>1641</v>
      </c>
      <c r="O826" s="47" t="s">
        <v>6182</v>
      </c>
      <c r="P826" s="47" t="s">
        <v>6183</v>
      </c>
      <c r="Q826" s="47" t="s">
        <v>1463</v>
      </c>
      <c r="R826" s="47" t="s">
        <v>1463</v>
      </c>
      <c r="S826" s="43"/>
      <c r="T826" s="49">
        <v>45453</v>
      </c>
    </row>
    <row r="827" spans="1:20" ht="26.45">
      <c r="A827" s="44" t="s">
        <v>6184</v>
      </c>
      <c r="B827" s="44" t="s">
        <v>6185</v>
      </c>
      <c r="C827" s="45" t="s">
        <v>6186</v>
      </c>
      <c r="D827" s="44" t="s">
        <v>1419</v>
      </c>
      <c r="E827" s="44" t="s">
        <v>1481</v>
      </c>
      <c r="F827" s="44"/>
      <c r="G827" s="44" t="s">
        <v>1490</v>
      </c>
      <c r="H827" s="44" t="s">
        <v>6187</v>
      </c>
      <c r="I827" s="46" t="s">
        <v>6186</v>
      </c>
      <c r="J827" s="46" t="s">
        <v>6188</v>
      </c>
      <c r="K827" s="46" t="s">
        <v>2213</v>
      </c>
      <c r="L827" s="46" t="s">
        <v>1504</v>
      </c>
      <c r="M827" s="46" t="s">
        <v>6189</v>
      </c>
      <c r="N827" s="46" t="s">
        <v>1476</v>
      </c>
      <c r="O827" s="44"/>
      <c r="P827" s="44"/>
      <c r="Q827" s="44" t="s">
        <v>1463</v>
      </c>
      <c r="R827" s="44" t="s">
        <v>1463</v>
      </c>
      <c r="S827" s="43"/>
      <c r="T827" s="44"/>
    </row>
    <row r="828" spans="1:20">
      <c r="A828" s="47" t="s">
        <v>6190</v>
      </c>
      <c r="B828" s="47" t="s">
        <v>6191</v>
      </c>
      <c r="C828" s="48" t="s">
        <v>6192</v>
      </c>
      <c r="D828" s="47" t="s">
        <v>1414</v>
      </c>
      <c r="E828" s="47" t="s">
        <v>1481</v>
      </c>
      <c r="F828" s="47"/>
      <c r="G828" s="47" t="s">
        <v>1466</v>
      </c>
      <c r="H828" s="47" t="s">
        <v>6193</v>
      </c>
      <c r="I828" s="50" t="s">
        <v>6192</v>
      </c>
      <c r="J828" s="50" t="s">
        <v>6194</v>
      </c>
      <c r="K828" s="50" t="s">
        <v>2764</v>
      </c>
      <c r="L828" s="50" t="s">
        <v>1504</v>
      </c>
      <c r="M828" s="50" t="s">
        <v>6195</v>
      </c>
      <c r="N828" s="50" t="s">
        <v>1495</v>
      </c>
      <c r="O828" s="47" t="s">
        <v>6196</v>
      </c>
      <c r="P828" s="47"/>
      <c r="Q828" s="47" t="s">
        <v>1463</v>
      </c>
      <c r="R828" s="47" t="s">
        <v>1463</v>
      </c>
      <c r="S828" s="43"/>
      <c r="T828" s="49">
        <v>42196</v>
      </c>
    </row>
    <row r="829" spans="1:20" ht="26.45">
      <c r="A829" s="44" t="s">
        <v>344</v>
      </c>
      <c r="B829" s="44" t="s">
        <v>6197</v>
      </c>
      <c r="C829" s="45" t="s">
        <v>1054</v>
      </c>
      <c r="D829" s="44" t="s">
        <v>1419</v>
      </c>
      <c r="E829" s="44" t="s">
        <v>1481</v>
      </c>
      <c r="F829" s="44"/>
      <c r="G829" s="44" t="s">
        <v>1687</v>
      </c>
      <c r="H829" s="44" t="s">
        <v>6198</v>
      </c>
      <c r="I829" s="46" t="s">
        <v>6199</v>
      </c>
      <c r="J829" s="46" t="s">
        <v>6200</v>
      </c>
      <c r="K829" s="46" t="s">
        <v>1523</v>
      </c>
      <c r="L829" s="46" t="s">
        <v>1504</v>
      </c>
      <c r="M829" s="46" t="s">
        <v>6201</v>
      </c>
      <c r="N829" s="46" t="s">
        <v>1629</v>
      </c>
      <c r="O829" s="44" t="s">
        <v>6202</v>
      </c>
      <c r="P829" s="44" t="s">
        <v>6203</v>
      </c>
      <c r="Q829" s="44" t="s">
        <v>1695</v>
      </c>
      <c r="R829" s="44" t="s">
        <v>1463</v>
      </c>
      <c r="S829" s="43"/>
      <c r="T829" s="51">
        <v>45630</v>
      </c>
    </row>
    <row r="830" spans="1:20" ht="26.45">
      <c r="A830" s="47" t="s">
        <v>345</v>
      </c>
      <c r="B830" s="47" t="s">
        <v>6204</v>
      </c>
      <c r="C830" s="48" t="s">
        <v>1055</v>
      </c>
      <c r="D830" s="47" t="s">
        <v>1428</v>
      </c>
      <c r="E830" s="47" t="s">
        <v>1481</v>
      </c>
      <c r="F830" s="47"/>
      <c r="G830" s="47" t="s">
        <v>1687</v>
      </c>
      <c r="H830" s="47" t="s">
        <v>6205</v>
      </c>
      <c r="I830" s="50" t="s">
        <v>6206</v>
      </c>
      <c r="J830" s="50" t="s">
        <v>6207</v>
      </c>
      <c r="K830" s="50" t="s">
        <v>6208</v>
      </c>
      <c r="L830" s="50" t="s">
        <v>1474</v>
      </c>
      <c r="M830" s="50" t="s">
        <v>6209</v>
      </c>
      <c r="N830" s="50" t="s">
        <v>1495</v>
      </c>
      <c r="O830" s="47" t="s">
        <v>6210</v>
      </c>
      <c r="P830" s="47" t="s">
        <v>6211</v>
      </c>
      <c r="Q830" s="47" t="s">
        <v>1695</v>
      </c>
      <c r="R830" s="47" t="s">
        <v>1463</v>
      </c>
      <c r="S830" s="43"/>
      <c r="T830" s="49">
        <v>45692</v>
      </c>
    </row>
    <row r="831" spans="1:20" ht="26.45">
      <c r="A831" s="44" t="s">
        <v>346</v>
      </c>
      <c r="B831" s="44" t="s">
        <v>6212</v>
      </c>
      <c r="C831" s="45" t="s">
        <v>1056</v>
      </c>
      <c r="D831" s="44" t="s">
        <v>1419</v>
      </c>
      <c r="E831" s="44" t="s">
        <v>1481</v>
      </c>
      <c r="F831" s="44"/>
      <c r="G831" s="44" t="s">
        <v>1687</v>
      </c>
      <c r="H831" s="44" t="s">
        <v>6213</v>
      </c>
      <c r="I831" s="46" t="s">
        <v>6214</v>
      </c>
      <c r="J831" s="46" t="s">
        <v>6215</v>
      </c>
      <c r="K831" s="46" t="s">
        <v>6216</v>
      </c>
      <c r="L831" s="46" t="s">
        <v>1504</v>
      </c>
      <c r="M831" s="46" t="s">
        <v>6217</v>
      </c>
      <c r="N831" s="46" t="s">
        <v>1476</v>
      </c>
      <c r="O831" s="44" t="s">
        <v>6218</v>
      </c>
      <c r="P831" s="44" t="s">
        <v>6219</v>
      </c>
      <c r="Q831" s="44" t="s">
        <v>1695</v>
      </c>
      <c r="R831" s="44" t="s">
        <v>1463</v>
      </c>
      <c r="S831" s="43"/>
      <c r="T831" s="51">
        <v>45572</v>
      </c>
    </row>
    <row r="832" spans="1:20" ht="26.45">
      <c r="A832" s="47" t="s">
        <v>6220</v>
      </c>
      <c r="B832" s="47" t="s">
        <v>6221</v>
      </c>
      <c r="C832" s="48" t="s">
        <v>6222</v>
      </c>
      <c r="D832" s="47" t="s">
        <v>1410</v>
      </c>
      <c r="E832" s="47" t="s">
        <v>1481</v>
      </c>
      <c r="F832" s="47"/>
      <c r="G832" s="47" t="s">
        <v>1490</v>
      </c>
      <c r="H832" s="47" t="s">
        <v>6223</v>
      </c>
      <c r="I832" s="50" t="s">
        <v>6222</v>
      </c>
      <c r="J832" s="50" t="s">
        <v>6224</v>
      </c>
      <c r="K832" s="50" t="s">
        <v>3004</v>
      </c>
      <c r="L832" s="50" t="s">
        <v>1504</v>
      </c>
      <c r="M832" s="50" t="s">
        <v>6225</v>
      </c>
      <c r="N832" s="50"/>
      <c r="O832" s="47"/>
      <c r="P832" s="47"/>
      <c r="Q832" s="47" t="s">
        <v>1463</v>
      </c>
      <c r="R832" s="47" t="s">
        <v>1463</v>
      </c>
      <c r="S832" s="43"/>
      <c r="T832" s="47"/>
    </row>
    <row r="833" spans="1:20">
      <c r="A833" s="44" t="s">
        <v>6226</v>
      </c>
      <c r="B833" s="44" t="s">
        <v>6227</v>
      </c>
      <c r="C833" s="45" t="s">
        <v>6228</v>
      </c>
      <c r="D833" s="44" t="s">
        <v>1419</v>
      </c>
      <c r="E833" s="44" t="s">
        <v>1481</v>
      </c>
      <c r="F833" s="44"/>
      <c r="G833" s="44" t="s">
        <v>1461</v>
      </c>
      <c r="H833" s="44"/>
      <c r="I833" s="46" t="s">
        <v>6228</v>
      </c>
      <c r="J833" s="46"/>
      <c r="K833" s="46"/>
      <c r="L833" s="46"/>
      <c r="M833" s="46"/>
      <c r="N833" s="46"/>
      <c r="O833" s="44"/>
      <c r="P833" s="44"/>
      <c r="Q833" s="44" t="s">
        <v>1463</v>
      </c>
      <c r="R833" s="44" t="s">
        <v>1463</v>
      </c>
      <c r="S833" s="43"/>
      <c r="T833" s="44"/>
    </row>
    <row r="834" spans="1:20">
      <c r="A834" s="47" t="s">
        <v>6229</v>
      </c>
      <c r="B834" s="47" t="s">
        <v>6230</v>
      </c>
      <c r="C834" s="48" t="s">
        <v>6231</v>
      </c>
      <c r="D834" s="47" t="s">
        <v>1419</v>
      </c>
      <c r="E834" s="47" t="s">
        <v>1481</v>
      </c>
      <c r="F834" s="47"/>
      <c r="G834" s="47" t="s">
        <v>1461</v>
      </c>
      <c r="H834" s="47"/>
      <c r="I834" s="50" t="s">
        <v>6231</v>
      </c>
      <c r="J834" s="50"/>
      <c r="K834" s="50"/>
      <c r="L834" s="50"/>
      <c r="M834" s="50"/>
      <c r="N834" s="50"/>
      <c r="O834" s="47" t="s">
        <v>6232</v>
      </c>
      <c r="P834" s="47"/>
      <c r="Q834" s="47" t="s">
        <v>1463</v>
      </c>
      <c r="R834" s="47" t="s">
        <v>1463</v>
      </c>
      <c r="S834" s="43"/>
      <c r="T834" s="47"/>
    </row>
    <row r="835" spans="1:20" ht="39.6">
      <c r="A835" s="44" t="s">
        <v>6233</v>
      </c>
      <c r="B835" s="44" t="s">
        <v>6234</v>
      </c>
      <c r="C835" s="45" t="s">
        <v>6235</v>
      </c>
      <c r="D835" s="44" t="s">
        <v>1432</v>
      </c>
      <c r="E835" s="44" t="s">
        <v>1481</v>
      </c>
      <c r="F835" s="44"/>
      <c r="G835" s="44" t="s">
        <v>1511</v>
      </c>
      <c r="H835" s="44"/>
      <c r="I835" s="46" t="s">
        <v>6235</v>
      </c>
      <c r="J835" s="46" t="s">
        <v>6236</v>
      </c>
      <c r="K835" s="46" t="s">
        <v>6237</v>
      </c>
      <c r="L835" s="46" t="s">
        <v>1504</v>
      </c>
      <c r="M835" s="46" t="s">
        <v>6238</v>
      </c>
      <c r="N835" s="46"/>
      <c r="O835" s="44" t="s">
        <v>2262</v>
      </c>
      <c r="P835" s="44"/>
      <c r="Q835" s="44" t="s">
        <v>1463</v>
      </c>
      <c r="R835" s="44" t="s">
        <v>1463</v>
      </c>
      <c r="S835" s="43"/>
      <c r="T835" s="44"/>
    </row>
    <row r="836" spans="1:20">
      <c r="A836" s="47" t="s">
        <v>6239</v>
      </c>
      <c r="B836" s="47" t="s">
        <v>6240</v>
      </c>
      <c r="C836" s="48" t="s">
        <v>6241</v>
      </c>
      <c r="D836" s="47" t="s">
        <v>1430</v>
      </c>
      <c r="E836" s="47" t="s">
        <v>1481</v>
      </c>
      <c r="F836" s="47"/>
      <c r="G836" s="47" t="s">
        <v>1461</v>
      </c>
      <c r="H836" s="47"/>
      <c r="I836" s="50"/>
      <c r="J836" s="50"/>
      <c r="K836" s="50"/>
      <c r="L836" s="50"/>
      <c r="M836" s="50"/>
      <c r="N836" s="50"/>
      <c r="O836" s="47"/>
      <c r="P836" s="47"/>
      <c r="Q836" s="47" t="s">
        <v>1463</v>
      </c>
      <c r="R836" s="47" t="s">
        <v>1463</v>
      </c>
      <c r="S836" s="43"/>
      <c r="T836" s="47"/>
    </row>
    <row r="837" spans="1:20">
      <c r="A837" s="44" t="s">
        <v>6242</v>
      </c>
      <c r="B837" s="44" t="s">
        <v>6243</v>
      </c>
      <c r="C837" s="45" t="s">
        <v>6244</v>
      </c>
      <c r="D837" s="44" t="s">
        <v>1424</v>
      </c>
      <c r="E837" s="44" t="s">
        <v>1481</v>
      </c>
      <c r="F837" s="44"/>
      <c r="G837" s="44" t="s">
        <v>1461</v>
      </c>
      <c r="H837" s="44"/>
      <c r="I837" s="46" t="s">
        <v>6245</v>
      </c>
      <c r="J837" s="46" t="s">
        <v>6246</v>
      </c>
      <c r="K837" s="46" t="s">
        <v>6247</v>
      </c>
      <c r="L837" s="46" t="s">
        <v>1474</v>
      </c>
      <c r="M837" s="46" t="s">
        <v>6248</v>
      </c>
      <c r="N837" s="46" t="s">
        <v>1641</v>
      </c>
      <c r="O837" s="44"/>
      <c r="P837" s="44"/>
      <c r="Q837" s="44" t="s">
        <v>1463</v>
      </c>
      <c r="R837" s="44" t="s">
        <v>1463</v>
      </c>
      <c r="S837" s="43"/>
      <c r="T837" s="51">
        <v>45023</v>
      </c>
    </row>
    <row r="838" spans="1:20" ht="26.45">
      <c r="A838" s="47" t="s">
        <v>1057</v>
      </c>
      <c r="B838" s="47" t="s">
        <v>6249</v>
      </c>
      <c r="C838" s="48" t="s">
        <v>1058</v>
      </c>
      <c r="D838" s="47" t="s">
        <v>1432</v>
      </c>
      <c r="E838" s="47" t="s">
        <v>1481</v>
      </c>
      <c r="F838" s="47"/>
      <c r="G838" s="47" t="s">
        <v>1687</v>
      </c>
      <c r="H838" s="47" t="s">
        <v>6250</v>
      </c>
      <c r="I838" s="50" t="s">
        <v>6251</v>
      </c>
      <c r="J838" s="50" t="s">
        <v>6252</v>
      </c>
      <c r="K838" s="50" t="s">
        <v>4785</v>
      </c>
      <c r="L838" s="50" t="s">
        <v>6253</v>
      </c>
      <c r="M838" s="50" t="s">
        <v>6254</v>
      </c>
      <c r="N838" s="50" t="s">
        <v>1531</v>
      </c>
      <c r="O838" s="47" t="s">
        <v>6255</v>
      </c>
      <c r="P838" s="47" t="s">
        <v>6256</v>
      </c>
      <c r="Q838" s="47" t="s">
        <v>1695</v>
      </c>
      <c r="R838" s="47" t="s">
        <v>1463</v>
      </c>
      <c r="S838" s="43"/>
      <c r="T838" s="49">
        <v>45596</v>
      </c>
    </row>
    <row r="839" spans="1:20" ht="26.45">
      <c r="A839" s="44" t="s">
        <v>6257</v>
      </c>
      <c r="B839" s="44" t="s">
        <v>6258</v>
      </c>
      <c r="C839" s="45" t="s">
        <v>6259</v>
      </c>
      <c r="D839" s="44" t="s">
        <v>1432</v>
      </c>
      <c r="E839" s="44" t="s">
        <v>1481</v>
      </c>
      <c r="F839" s="44"/>
      <c r="G839" s="44" t="s">
        <v>1663</v>
      </c>
      <c r="H839" s="44" t="s">
        <v>6260</v>
      </c>
      <c r="I839" s="46" t="s">
        <v>6261</v>
      </c>
      <c r="J839" s="46" t="s">
        <v>6262</v>
      </c>
      <c r="K839" s="46" t="s">
        <v>4785</v>
      </c>
      <c r="L839" s="46" t="s">
        <v>1504</v>
      </c>
      <c r="M839" s="46" t="s">
        <v>6263</v>
      </c>
      <c r="N839" s="46" t="s">
        <v>1531</v>
      </c>
      <c r="O839" s="44" t="s">
        <v>6264</v>
      </c>
      <c r="P839" s="44" t="s">
        <v>6265</v>
      </c>
      <c r="Q839" s="44" t="s">
        <v>1695</v>
      </c>
      <c r="R839" s="44" t="s">
        <v>1463</v>
      </c>
      <c r="S839" s="43"/>
      <c r="T839" s="51">
        <v>45456</v>
      </c>
    </row>
    <row r="840" spans="1:20">
      <c r="A840" s="47" t="s">
        <v>6266</v>
      </c>
      <c r="B840" s="47" t="s">
        <v>6267</v>
      </c>
      <c r="C840" s="48" t="s">
        <v>6268</v>
      </c>
      <c r="D840" s="47" t="s">
        <v>1432</v>
      </c>
      <c r="E840" s="47" t="s">
        <v>1481</v>
      </c>
      <c r="F840" s="47"/>
      <c r="G840" s="47" t="s">
        <v>1663</v>
      </c>
      <c r="H840" s="47"/>
      <c r="I840" s="50"/>
      <c r="J840" s="50"/>
      <c r="K840" s="50"/>
      <c r="L840" s="50"/>
      <c r="M840" s="50"/>
      <c r="N840" s="50"/>
      <c r="O840" s="47"/>
      <c r="P840" s="47"/>
      <c r="Q840" s="47" t="s">
        <v>1463</v>
      </c>
      <c r="R840" s="47" t="s">
        <v>1463</v>
      </c>
      <c r="S840" s="43"/>
      <c r="T840" s="47"/>
    </row>
    <row r="841" spans="1:20" ht="26.45">
      <c r="A841" s="44" t="s">
        <v>1059</v>
      </c>
      <c r="B841" s="44" t="s">
        <v>6269</v>
      </c>
      <c r="C841" s="45" t="s">
        <v>1060</v>
      </c>
      <c r="D841" s="44" t="s">
        <v>1432</v>
      </c>
      <c r="E841" s="44" t="s">
        <v>1481</v>
      </c>
      <c r="F841" s="44"/>
      <c r="G841" s="44" t="s">
        <v>1663</v>
      </c>
      <c r="H841" s="44" t="s">
        <v>6270</v>
      </c>
      <c r="I841" s="46" t="s">
        <v>6271</v>
      </c>
      <c r="J841" s="46" t="s">
        <v>6272</v>
      </c>
      <c r="K841" s="46" t="s">
        <v>4785</v>
      </c>
      <c r="L841" s="46" t="s">
        <v>1504</v>
      </c>
      <c r="M841" s="46" t="s">
        <v>6273</v>
      </c>
      <c r="N841" s="46" t="s">
        <v>1641</v>
      </c>
      <c r="O841" s="44" t="s">
        <v>6274</v>
      </c>
      <c r="P841" s="44" t="s">
        <v>6275</v>
      </c>
      <c r="Q841" s="44" t="s">
        <v>1695</v>
      </c>
      <c r="R841" s="44" t="s">
        <v>1463</v>
      </c>
      <c r="S841" s="43"/>
      <c r="T841" s="51">
        <v>45378</v>
      </c>
    </row>
    <row r="842" spans="1:20">
      <c r="A842" s="47" t="s">
        <v>6276</v>
      </c>
      <c r="B842" s="47" t="s">
        <v>6277</v>
      </c>
      <c r="C842" s="48" t="s">
        <v>6278</v>
      </c>
      <c r="D842" s="47" t="s">
        <v>1424</v>
      </c>
      <c r="E842" s="47" t="s">
        <v>1460</v>
      </c>
      <c r="F842" s="49">
        <v>43019.990547604197</v>
      </c>
      <c r="G842" s="47" t="s">
        <v>1466</v>
      </c>
      <c r="H842" s="47"/>
      <c r="I842" s="50" t="s">
        <v>6278</v>
      </c>
      <c r="J842" s="50" t="s">
        <v>6279</v>
      </c>
      <c r="K842" s="50" t="s">
        <v>4565</v>
      </c>
      <c r="L842" s="50" t="s">
        <v>1504</v>
      </c>
      <c r="M842" s="50" t="s">
        <v>5262</v>
      </c>
      <c r="N842" s="50"/>
      <c r="O842" s="47" t="s">
        <v>6280</v>
      </c>
      <c r="P842" s="47"/>
      <c r="Q842" s="47" t="s">
        <v>1463</v>
      </c>
      <c r="R842" s="47" t="s">
        <v>1463</v>
      </c>
      <c r="S842" s="43"/>
      <c r="T842" s="49">
        <v>43166</v>
      </c>
    </row>
    <row r="843" spans="1:20">
      <c r="A843" s="44" t="s">
        <v>6281</v>
      </c>
      <c r="B843" s="44" t="s">
        <v>6282</v>
      </c>
      <c r="C843" s="45" t="s">
        <v>6283</v>
      </c>
      <c r="D843" s="44" t="s">
        <v>1419</v>
      </c>
      <c r="E843" s="44" t="s">
        <v>1481</v>
      </c>
      <c r="F843" s="44"/>
      <c r="G843" s="44" t="s">
        <v>1466</v>
      </c>
      <c r="H843" s="44" t="s">
        <v>6284</v>
      </c>
      <c r="I843" s="46" t="s">
        <v>6283</v>
      </c>
      <c r="J843" s="46" t="s">
        <v>6285</v>
      </c>
      <c r="K843" s="46" t="s">
        <v>1503</v>
      </c>
      <c r="L843" s="46" t="s">
        <v>1504</v>
      </c>
      <c r="M843" s="46" t="s">
        <v>6286</v>
      </c>
      <c r="N843" s="46" t="s">
        <v>1744</v>
      </c>
      <c r="O843" s="44" t="s">
        <v>6287</v>
      </c>
      <c r="P843" s="44"/>
      <c r="Q843" s="44" t="s">
        <v>1463</v>
      </c>
      <c r="R843" s="44" t="s">
        <v>1463</v>
      </c>
      <c r="S843" s="43"/>
      <c r="T843" s="51">
        <v>42746</v>
      </c>
    </row>
    <row r="844" spans="1:20">
      <c r="A844" s="47" t="s">
        <v>6288</v>
      </c>
      <c r="B844" s="47"/>
      <c r="C844" s="48" t="s">
        <v>6289</v>
      </c>
      <c r="D844" s="47" t="s">
        <v>1419</v>
      </c>
      <c r="E844" s="47" t="s">
        <v>1460</v>
      </c>
      <c r="F844" s="49">
        <v>42452.689419756898</v>
      </c>
      <c r="G844" s="47" t="s">
        <v>1466</v>
      </c>
      <c r="H844" s="47"/>
      <c r="I844" s="50"/>
      <c r="J844" s="50"/>
      <c r="K844" s="50"/>
      <c r="L844" s="50"/>
      <c r="M844" s="50"/>
      <c r="N844" s="50"/>
      <c r="O844" s="47"/>
      <c r="P844" s="47"/>
      <c r="Q844" s="47" t="s">
        <v>1463</v>
      </c>
      <c r="R844" s="47" t="s">
        <v>1463</v>
      </c>
      <c r="S844" s="43"/>
      <c r="T844" s="47"/>
    </row>
    <row r="845" spans="1:20">
      <c r="A845" s="44" t="s">
        <v>6290</v>
      </c>
      <c r="B845" s="44" t="s">
        <v>6291</v>
      </c>
      <c r="C845" s="45" t="s">
        <v>6292</v>
      </c>
      <c r="D845" s="44" t="s">
        <v>1419</v>
      </c>
      <c r="E845" s="44" t="s">
        <v>1481</v>
      </c>
      <c r="F845" s="44"/>
      <c r="G845" s="44" t="s">
        <v>1466</v>
      </c>
      <c r="H845" s="44" t="s">
        <v>6293</v>
      </c>
      <c r="I845" s="46" t="s">
        <v>6292</v>
      </c>
      <c r="J845" s="46"/>
      <c r="K845" s="46"/>
      <c r="L845" s="46"/>
      <c r="M845" s="46"/>
      <c r="N845" s="46"/>
      <c r="O845" s="44" t="s">
        <v>6294</v>
      </c>
      <c r="P845" s="44"/>
      <c r="Q845" s="44" t="s">
        <v>1463</v>
      </c>
      <c r="R845" s="44" t="s">
        <v>1463</v>
      </c>
      <c r="S845" s="43"/>
      <c r="T845" s="44"/>
    </row>
    <row r="846" spans="1:20" ht="26.45">
      <c r="A846" s="47" t="s">
        <v>6295</v>
      </c>
      <c r="B846" s="47" t="s">
        <v>6296</v>
      </c>
      <c r="C846" s="48" t="s">
        <v>6297</v>
      </c>
      <c r="D846" s="47" t="s">
        <v>1414</v>
      </c>
      <c r="E846" s="47" t="s">
        <v>1481</v>
      </c>
      <c r="F846" s="47"/>
      <c r="G846" s="47" t="s">
        <v>1490</v>
      </c>
      <c r="H846" s="47" t="s">
        <v>6298</v>
      </c>
      <c r="I846" s="50" t="s">
        <v>6297</v>
      </c>
      <c r="J846" s="50" t="s">
        <v>6299</v>
      </c>
      <c r="K846" s="50" t="s">
        <v>1484</v>
      </c>
      <c r="L846" s="50" t="s">
        <v>1504</v>
      </c>
      <c r="M846" s="50" t="s">
        <v>6300</v>
      </c>
      <c r="N846" s="50"/>
      <c r="O846" s="47"/>
      <c r="P846" s="47"/>
      <c r="Q846" s="47" t="s">
        <v>1463</v>
      </c>
      <c r="R846" s="47" t="s">
        <v>1463</v>
      </c>
      <c r="S846" s="43"/>
      <c r="T846" s="47"/>
    </row>
    <row r="847" spans="1:20">
      <c r="A847" s="44" t="s">
        <v>6301</v>
      </c>
      <c r="B847" s="44" t="s">
        <v>6302</v>
      </c>
      <c r="C847" s="45" t="s">
        <v>6303</v>
      </c>
      <c r="D847" s="44" t="s">
        <v>1419</v>
      </c>
      <c r="E847" s="44" t="s">
        <v>1481</v>
      </c>
      <c r="F847" s="44"/>
      <c r="G847" s="44" t="s">
        <v>1466</v>
      </c>
      <c r="H847" s="44"/>
      <c r="I847" s="46"/>
      <c r="J847" s="46"/>
      <c r="K847" s="46"/>
      <c r="L847" s="46"/>
      <c r="M847" s="46"/>
      <c r="N847" s="46"/>
      <c r="O847" s="44"/>
      <c r="P847" s="44"/>
      <c r="Q847" s="44" t="s">
        <v>1463</v>
      </c>
      <c r="R847" s="44" t="s">
        <v>1463</v>
      </c>
      <c r="S847" s="43"/>
      <c r="T847" s="44"/>
    </row>
    <row r="848" spans="1:20" ht="26.45">
      <c r="A848" s="47" t="s">
        <v>6304</v>
      </c>
      <c r="B848" s="47" t="s">
        <v>6305</v>
      </c>
      <c r="C848" s="48" t="s">
        <v>6306</v>
      </c>
      <c r="D848" s="47" t="s">
        <v>1419</v>
      </c>
      <c r="E848" s="47" t="s">
        <v>1481</v>
      </c>
      <c r="F848" s="47"/>
      <c r="G848" s="47" t="s">
        <v>1466</v>
      </c>
      <c r="H848" s="47" t="s">
        <v>6307</v>
      </c>
      <c r="I848" s="50" t="s">
        <v>6306</v>
      </c>
      <c r="J848" s="50" t="s">
        <v>6308</v>
      </c>
      <c r="K848" s="50" t="s">
        <v>1975</v>
      </c>
      <c r="L848" s="50" t="s">
        <v>1474</v>
      </c>
      <c r="M848" s="50" t="s">
        <v>6309</v>
      </c>
      <c r="N848" s="50" t="s">
        <v>1516</v>
      </c>
      <c r="O848" s="47" t="s">
        <v>6310</v>
      </c>
      <c r="P848" s="47" t="s">
        <v>6311</v>
      </c>
      <c r="Q848" s="47" t="s">
        <v>1463</v>
      </c>
      <c r="R848" s="47" t="s">
        <v>1463</v>
      </c>
      <c r="S848" s="43"/>
      <c r="T848" s="49">
        <v>44987</v>
      </c>
    </row>
    <row r="849" spans="1:20" ht="26.45">
      <c r="A849" s="44" t="s">
        <v>347</v>
      </c>
      <c r="B849" s="44" t="s">
        <v>6312</v>
      </c>
      <c r="C849" s="45" t="s">
        <v>1061</v>
      </c>
      <c r="D849" s="44" t="s">
        <v>1419</v>
      </c>
      <c r="E849" s="44" t="s">
        <v>1481</v>
      </c>
      <c r="F849" s="44"/>
      <c r="G849" s="44" t="s">
        <v>1466</v>
      </c>
      <c r="H849" s="44" t="s">
        <v>6313</v>
      </c>
      <c r="I849" s="46" t="s">
        <v>1061</v>
      </c>
      <c r="J849" s="46" t="s">
        <v>6314</v>
      </c>
      <c r="K849" s="46" t="s">
        <v>1503</v>
      </c>
      <c r="L849" s="46" t="s">
        <v>1474</v>
      </c>
      <c r="M849" s="46" t="s">
        <v>6315</v>
      </c>
      <c r="N849" s="46" t="s">
        <v>1516</v>
      </c>
      <c r="O849" s="44" t="s">
        <v>6316</v>
      </c>
      <c r="P849" s="44" t="s">
        <v>6317</v>
      </c>
      <c r="Q849" s="44" t="s">
        <v>1463</v>
      </c>
      <c r="R849" s="44" t="s">
        <v>1463</v>
      </c>
      <c r="S849" s="43"/>
      <c r="T849" s="51">
        <v>45356</v>
      </c>
    </row>
    <row r="850" spans="1:20" ht="26.45">
      <c r="A850" s="47" t="s">
        <v>348</v>
      </c>
      <c r="B850" s="47" t="s">
        <v>6318</v>
      </c>
      <c r="C850" s="48" t="s">
        <v>1062</v>
      </c>
      <c r="D850" s="47" t="s">
        <v>1419</v>
      </c>
      <c r="E850" s="47" t="s">
        <v>1481</v>
      </c>
      <c r="F850" s="47"/>
      <c r="G850" s="47" t="s">
        <v>1466</v>
      </c>
      <c r="H850" s="47" t="s">
        <v>6319</v>
      </c>
      <c r="I850" s="50" t="s">
        <v>6320</v>
      </c>
      <c r="J850" s="50" t="s">
        <v>6321</v>
      </c>
      <c r="K850" s="50" t="s">
        <v>1493</v>
      </c>
      <c r="L850" s="50" t="s">
        <v>1504</v>
      </c>
      <c r="M850" s="50" t="s">
        <v>6322</v>
      </c>
      <c r="N850" s="50" t="s">
        <v>1629</v>
      </c>
      <c r="O850" s="47" t="s">
        <v>6323</v>
      </c>
      <c r="P850" s="47" t="s">
        <v>6324</v>
      </c>
      <c r="Q850" s="47" t="s">
        <v>1463</v>
      </c>
      <c r="R850" s="47" t="s">
        <v>1463</v>
      </c>
      <c r="S850" s="43"/>
      <c r="T850" s="49">
        <v>45658</v>
      </c>
    </row>
    <row r="851" spans="1:20">
      <c r="A851" s="44" t="s">
        <v>6325</v>
      </c>
      <c r="B851" s="44" t="s">
        <v>6326</v>
      </c>
      <c r="C851" s="45" t="s">
        <v>6327</v>
      </c>
      <c r="D851" s="44" t="s">
        <v>1424</v>
      </c>
      <c r="E851" s="44" t="s">
        <v>1481</v>
      </c>
      <c r="F851" s="44"/>
      <c r="G851" s="44" t="s">
        <v>1663</v>
      </c>
      <c r="H851" s="44" t="s">
        <v>6328</v>
      </c>
      <c r="I851" s="46" t="s">
        <v>6327</v>
      </c>
      <c r="J851" s="46"/>
      <c r="K851" s="46"/>
      <c r="L851" s="46"/>
      <c r="M851" s="46"/>
      <c r="N851" s="46"/>
      <c r="O851" s="44"/>
      <c r="P851" s="44"/>
      <c r="Q851" s="44" t="s">
        <v>1463</v>
      </c>
      <c r="R851" s="44" t="s">
        <v>1463</v>
      </c>
      <c r="S851" s="43"/>
      <c r="T851" s="44"/>
    </row>
    <row r="852" spans="1:20" ht="26.45">
      <c r="A852" s="47" t="s">
        <v>1065</v>
      </c>
      <c r="B852" s="47" t="s">
        <v>6329</v>
      </c>
      <c r="C852" s="48" t="s">
        <v>1066</v>
      </c>
      <c r="D852" s="47" t="s">
        <v>1419</v>
      </c>
      <c r="E852" s="47" t="s">
        <v>1481</v>
      </c>
      <c r="F852" s="47"/>
      <c r="G852" s="47" t="s">
        <v>1466</v>
      </c>
      <c r="H852" s="47" t="s">
        <v>6330</v>
      </c>
      <c r="I852" s="50" t="s">
        <v>6331</v>
      </c>
      <c r="J852" s="50" t="s">
        <v>6332</v>
      </c>
      <c r="K852" s="50" t="s">
        <v>2184</v>
      </c>
      <c r="L852" s="50" t="s">
        <v>1504</v>
      </c>
      <c r="M852" s="50" t="s">
        <v>6333</v>
      </c>
      <c r="N852" s="50" t="s">
        <v>1516</v>
      </c>
      <c r="O852" s="47" t="s">
        <v>6334</v>
      </c>
      <c r="P852" s="47" t="s">
        <v>6335</v>
      </c>
      <c r="Q852" s="47" t="s">
        <v>1463</v>
      </c>
      <c r="R852" s="47" t="s">
        <v>1463</v>
      </c>
      <c r="S852" s="43"/>
      <c r="T852" s="49">
        <v>45589</v>
      </c>
    </row>
    <row r="853" spans="1:20" ht="26.45">
      <c r="A853" s="44" t="s">
        <v>1063</v>
      </c>
      <c r="B853" s="44" t="s">
        <v>6336</v>
      </c>
      <c r="C853" s="45" t="s">
        <v>1064</v>
      </c>
      <c r="D853" s="44" t="s">
        <v>1419</v>
      </c>
      <c r="E853" s="44" t="s">
        <v>1481</v>
      </c>
      <c r="F853" s="44"/>
      <c r="G853" s="44" t="s">
        <v>1466</v>
      </c>
      <c r="H853" s="44" t="s">
        <v>6337</v>
      </c>
      <c r="I853" s="46" t="s">
        <v>6338</v>
      </c>
      <c r="J853" s="46" t="s">
        <v>6332</v>
      </c>
      <c r="K853" s="46" t="s">
        <v>2184</v>
      </c>
      <c r="L853" s="46" t="s">
        <v>1504</v>
      </c>
      <c r="M853" s="46" t="s">
        <v>6333</v>
      </c>
      <c r="N853" s="46" t="s">
        <v>1516</v>
      </c>
      <c r="O853" s="44" t="s">
        <v>6339</v>
      </c>
      <c r="P853" s="44" t="s">
        <v>6340</v>
      </c>
      <c r="Q853" s="44" t="s">
        <v>1463</v>
      </c>
      <c r="R853" s="44" t="s">
        <v>1463</v>
      </c>
      <c r="S853" s="43"/>
      <c r="T853" s="51">
        <v>45292</v>
      </c>
    </row>
    <row r="854" spans="1:20">
      <c r="A854" s="47" t="s">
        <v>6341</v>
      </c>
      <c r="B854" s="47" t="s">
        <v>6342</v>
      </c>
      <c r="C854" s="48" t="s">
        <v>6343</v>
      </c>
      <c r="D854" s="47" t="s">
        <v>1420</v>
      </c>
      <c r="E854" s="47" t="s">
        <v>1460</v>
      </c>
      <c r="F854" s="49">
        <v>42426.727809837997</v>
      </c>
      <c r="G854" s="47" t="s">
        <v>1466</v>
      </c>
      <c r="H854" s="47" t="s">
        <v>6344</v>
      </c>
      <c r="I854" s="50" t="s">
        <v>6343</v>
      </c>
      <c r="J854" s="50" t="s">
        <v>6345</v>
      </c>
      <c r="K854" s="50" t="s">
        <v>1639</v>
      </c>
      <c r="L854" s="50" t="s">
        <v>1504</v>
      </c>
      <c r="M854" s="50" t="s">
        <v>6346</v>
      </c>
      <c r="N854" s="50" t="s">
        <v>1476</v>
      </c>
      <c r="O854" s="47" t="s">
        <v>6347</v>
      </c>
      <c r="P854" s="47"/>
      <c r="Q854" s="47" t="s">
        <v>1463</v>
      </c>
      <c r="R854" s="47" t="s">
        <v>1463</v>
      </c>
      <c r="S854" s="43"/>
      <c r="T854" s="49">
        <v>42432</v>
      </c>
    </row>
    <row r="855" spans="1:20">
      <c r="A855" s="44" t="s">
        <v>6348</v>
      </c>
      <c r="B855" s="44" t="s">
        <v>6349</v>
      </c>
      <c r="C855" s="45" t="s">
        <v>6350</v>
      </c>
      <c r="D855" s="44" t="s">
        <v>1414</v>
      </c>
      <c r="E855" s="44" t="s">
        <v>1481</v>
      </c>
      <c r="F855" s="51">
        <v>41932.890347800902</v>
      </c>
      <c r="G855" s="44" t="s">
        <v>1466</v>
      </c>
      <c r="H855" s="44" t="s">
        <v>6351</v>
      </c>
      <c r="I855" s="46" t="s">
        <v>6350</v>
      </c>
      <c r="J855" s="46"/>
      <c r="K855" s="46"/>
      <c r="L855" s="46"/>
      <c r="M855" s="46"/>
      <c r="N855" s="46"/>
      <c r="O855" s="44" t="s">
        <v>6352</v>
      </c>
      <c r="P855" s="44"/>
      <c r="Q855" s="44" t="s">
        <v>1463</v>
      </c>
      <c r="R855" s="44" t="s">
        <v>1463</v>
      </c>
      <c r="S855" s="43"/>
      <c r="T855" s="44"/>
    </row>
    <row r="856" spans="1:20" ht="26.45">
      <c r="A856" s="47" t="s">
        <v>349</v>
      </c>
      <c r="B856" s="47" t="s">
        <v>6353</v>
      </c>
      <c r="C856" s="48" t="s">
        <v>1067</v>
      </c>
      <c r="D856" s="47" t="s">
        <v>1419</v>
      </c>
      <c r="E856" s="47" t="s">
        <v>1481</v>
      </c>
      <c r="F856" s="47"/>
      <c r="G856" s="47" t="s">
        <v>1466</v>
      </c>
      <c r="H856" s="47" t="s">
        <v>6354</v>
      </c>
      <c r="I856" s="50" t="s">
        <v>1067</v>
      </c>
      <c r="J856" s="50" t="s">
        <v>6355</v>
      </c>
      <c r="K856" s="50" t="s">
        <v>1493</v>
      </c>
      <c r="L856" s="50" t="s">
        <v>1504</v>
      </c>
      <c r="M856" s="50" t="s">
        <v>6356</v>
      </c>
      <c r="N856" s="50" t="s">
        <v>1641</v>
      </c>
      <c r="O856" s="47" t="s">
        <v>6357</v>
      </c>
      <c r="P856" s="47" t="s">
        <v>6358</v>
      </c>
      <c r="Q856" s="47" t="s">
        <v>1463</v>
      </c>
      <c r="R856" s="47" t="s">
        <v>1463</v>
      </c>
      <c r="S856" s="43"/>
      <c r="T856" s="49">
        <v>45658</v>
      </c>
    </row>
    <row r="857" spans="1:20">
      <c r="A857" s="44" t="s">
        <v>6359</v>
      </c>
      <c r="B857" s="44" t="s">
        <v>6360</v>
      </c>
      <c r="C857" s="45" t="s">
        <v>6361</v>
      </c>
      <c r="D857" s="44" t="s">
        <v>1419</v>
      </c>
      <c r="E857" s="44" t="s">
        <v>1481</v>
      </c>
      <c r="F857" s="44"/>
      <c r="G857" s="44" t="s">
        <v>1687</v>
      </c>
      <c r="H857" s="44"/>
      <c r="I857" s="46" t="s">
        <v>6361</v>
      </c>
      <c r="J857" s="46" t="s">
        <v>6362</v>
      </c>
      <c r="K857" s="46" t="s">
        <v>1523</v>
      </c>
      <c r="L857" s="46" t="s">
        <v>1504</v>
      </c>
      <c r="M857" s="46" t="s">
        <v>6363</v>
      </c>
      <c r="N857" s="46"/>
      <c r="O857" s="44"/>
      <c r="P857" s="44"/>
      <c r="Q857" s="44" t="s">
        <v>1463</v>
      </c>
      <c r="R857" s="44" t="s">
        <v>1463</v>
      </c>
      <c r="S857" s="43"/>
      <c r="T857" s="44"/>
    </row>
    <row r="858" spans="1:20" ht="26.45">
      <c r="A858" s="47" t="s">
        <v>350</v>
      </c>
      <c r="B858" s="47" t="s">
        <v>6063</v>
      </c>
      <c r="C858" s="48" t="s">
        <v>1068</v>
      </c>
      <c r="D858" s="47" t="s">
        <v>1419</v>
      </c>
      <c r="E858" s="47" t="s">
        <v>1481</v>
      </c>
      <c r="F858" s="47"/>
      <c r="G858" s="47" t="s">
        <v>1466</v>
      </c>
      <c r="H858" s="47" t="s">
        <v>3022</v>
      </c>
      <c r="I858" s="50" t="s">
        <v>6364</v>
      </c>
      <c r="J858" s="50" t="s">
        <v>6365</v>
      </c>
      <c r="K858" s="50" t="s">
        <v>1503</v>
      </c>
      <c r="L858" s="50" t="s">
        <v>1474</v>
      </c>
      <c r="M858" s="50" t="s">
        <v>6366</v>
      </c>
      <c r="N858" s="50" t="s">
        <v>1744</v>
      </c>
      <c r="O858" s="47" t="s">
        <v>6367</v>
      </c>
      <c r="P858" s="47" t="s">
        <v>6368</v>
      </c>
      <c r="Q858" s="47" t="s">
        <v>1463</v>
      </c>
      <c r="R858" s="47" t="s">
        <v>1463</v>
      </c>
      <c r="S858" s="43"/>
      <c r="T858" s="49">
        <v>45586</v>
      </c>
    </row>
    <row r="859" spans="1:20" ht="26.45">
      <c r="A859" s="44" t="s">
        <v>351</v>
      </c>
      <c r="B859" s="44" t="s">
        <v>6369</v>
      </c>
      <c r="C859" s="45" t="s">
        <v>1069</v>
      </c>
      <c r="D859" s="44" t="s">
        <v>1419</v>
      </c>
      <c r="E859" s="44" t="s">
        <v>1481</v>
      </c>
      <c r="F859" s="44"/>
      <c r="G859" s="44" t="s">
        <v>1466</v>
      </c>
      <c r="H859" s="44" t="s">
        <v>6370</v>
      </c>
      <c r="I859" s="46" t="s">
        <v>1069</v>
      </c>
      <c r="J859" s="46" t="s">
        <v>6371</v>
      </c>
      <c r="K859" s="46" t="s">
        <v>2061</v>
      </c>
      <c r="L859" s="46" t="s">
        <v>1504</v>
      </c>
      <c r="M859" s="46" t="s">
        <v>6372</v>
      </c>
      <c r="N859" s="46" t="s">
        <v>1525</v>
      </c>
      <c r="O859" s="44" t="s">
        <v>6373</v>
      </c>
      <c r="P859" s="44" t="s">
        <v>6374</v>
      </c>
      <c r="Q859" s="44" t="s">
        <v>1463</v>
      </c>
      <c r="R859" s="44" t="s">
        <v>1463</v>
      </c>
      <c r="S859" s="43"/>
      <c r="T859" s="51">
        <v>45580</v>
      </c>
    </row>
    <row r="860" spans="1:20">
      <c r="A860" s="47" t="s">
        <v>6375</v>
      </c>
      <c r="B860" s="47"/>
      <c r="C860" s="48" t="s">
        <v>6376</v>
      </c>
      <c r="D860" s="47" t="s">
        <v>1419</v>
      </c>
      <c r="E860" s="47" t="s">
        <v>1460</v>
      </c>
      <c r="F860" s="49">
        <v>42452.689750891201</v>
      </c>
      <c r="G860" s="47" t="s">
        <v>1466</v>
      </c>
      <c r="H860" s="47"/>
      <c r="I860" s="50"/>
      <c r="J860" s="50"/>
      <c r="K860" s="50"/>
      <c r="L860" s="50"/>
      <c r="M860" s="50"/>
      <c r="N860" s="50"/>
      <c r="O860" s="47"/>
      <c r="P860" s="47"/>
      <c r="Q860" s="47" t="s">
        <v>1463</v>
      </c>
      <c r="R860" s="47" t="s">
        <v>1463</v>
      </c>
      <c r="S860" s="43"/>
      <c r="T860" s="47"/>
    </row>
    <row r="861" spans="1:20" ht="26.45">
      <c r="A861" s="44" t="s">
        <v>6377</v>
      </c>
      <c r="B861" s="44" t="s">
        <v>6378</v>
      </c>
      <c r="C861" s="45" t="s">
        <v>6379</v>
      </c>
      <c r="D861" s="44" t="s">
        <v>1436</v>
      </c>
      <c r="E861" s="44" t="s">
        <v>1481</v>
      </c>
      <c r="F861" s="44"/>
      <c r="G861" s="44" t="s">
        <v>3395</v>
      </c>
      <c r="H861" s="44"/>
      <c r="I861" s="46"/>
      <c r="J861" s="46"/>
      <c r="K861" s="46"/>
      <c r="L861" s="46"/>
      <c r="M861" s="46"/>
      <c r="N861" s="46"/>
      <c r="O861" s="44"/>
      <c r="P861" s="44"/>
      <c r="Q861" s="44" t="s">
        <v>1463</v>
      </c>
      <c r="R861" s="44" t="s">
        <v>1463</v>
      </c>
      <c r="S861" s="43"/>
      <c r="T861" s="44"/>
    </row>
    <row r="862" spans="1:20" ht="26.45">
      <c r="A862" s="47" t="s">
        <v>352</v>
      </c>
      <c r="B862" s="47" t="s">
        <v>6380</v>
      </c>
      <c r="C862" s="48" t="s">
        <v>1070</v>
      </c>
      <c r="D862" s="47" t="s">
        <v>1436</v>
      </c>
      <c r="E862" s="47" t="s">
        <v>1481</v>
      </c>
      <c r="F862" s="47"/>
      <c r="G862" s="47" t="s">
        <v>1687</v>
      </c>
      <c r="H862" s="47" t="s">
        <v>6381</v>
      </c>
      <c r="I862" s="50" t="s">
        <v>6382</v>
      </c>
      <c r="J862" s="50" t="s">
        <v>6383</v>
      </c>
      <c r="K862" s="50" t="s">
        <v>5095</v>
      </c>
      <c r="L862" s="50" t="s">
        <v>1474</v>
      </c>
      <c r="M862" s="50" t="s">
        <v>6384</v>
      </c>
      <c r="N862" s="50" t="s">
        <v>1495</v>
      </c>
      <c r="O862" s="47" t="s">
        <v>6385</v>
      </c>
      <c r="P862" s="47" t="s">
        <v>6386</v>
      </c>
      <c r="Q862" s="47" t="s">
        <v>1463</v>
      </c>
      <c r="R862" s="47" t="s">
        <v>1463</v>
      </c>
      <c r="S862" s="43"/>
      <c r="T862" s="49">
        <v>45517</v>
      </c>
    </row>
    <row r="863" spans="1:20" ht="26.45">
      <c r="A863" s="44" t="s">
        <v>1071</v>
      </c>
      <c r="B863" s="44" t="s">
        <v>6387</v>
      </c>
      <c r="C863" s="45" t="s">
        <v>1072</v>
      </c>
      <c r="D863" s="44" t="s">
        <v>1419</v>
      </c>
      <c r="E863" s="44" t="s">
        <v>1481</v>
      </c>
      <c r="F863" s="44"/>
      <c r="G863" s="44" t="s">
        <v>1466</v>
      </c>
      <c r="H863" s="44" t="s">
        <v>6388</v>
      </c>
      <c r="I863" s="46" t="s">
        <v>1072</v>
      </c>
      <c r="J863" s="46" t="s">
        <v>2079</v>
      </c>
      <c r="K863" s="46" t="s">
        <v>1493</v>
      </c>
      <c r="L863" s="46" t="s">
        <v>1474</v>
      </c>
      <c r="M863" s="46" t="s">
        <v>2080</v>
      </c>
      <c r="N863" s="46" t="s">
        <v>1641</v>
      </c>
      <c r="O863" s="44" t="s">
        <v>6389</v>
      </c>
      <c r="P863" s="44" t="s">
        <v>6390</v>
      </c>
      <c r="Q863" s="44" t="s">
        <v>1463</v>
      </c>
      <c r="R863" s="44" t="s">
        <v>1463</v>
      </c>
      <c r="S863" s="43"/>
      <c r="T863" s="51">
        <v>45706</v>
      </c>
    </row>
    <row r="864" spans="1:20" ht="26.45">
      <c r="A864" s="47" t="s">
        <v>1073</v>
      </c>
      <c r="B864" s="47" t="s">
        <v>6391</v>
      </c>
      <c r="C864" s="48" t="s">
        <v>1074</v>
      </c>
      <c r="D864" s="47" t="s">
        <v>1419</v>
      </c>
      <c r="E864" s="47" t="s">
        <v>1481</v>
      </c>
      <c r="F864" s="47"/>
      <c r="G864" s="47" t="s">
        <v>1466</v>
      </c>
      <c r="H864" s="47" t="s">
        <v>6392</v>
      </c>
      <c r="I864" s="50" t="s">
        <v>6393</v>
      </c>
      <c r="J864" s="50" t="s">
        <v>6394</v>
      </c>
      <c r="K864" s="50" t="s">
        <v>1523</v>
      </c>
      <c r="L864" s="50" t="s">
        <v>1504</v>
      </c>
      <c r="M864" s="50" t="s">
        <v>6395</v>
      </c>
      <c r="N864" s="50" t="s">
        <v>1629</v>
      </c>
      <c r="O864" s="47" t="s">
        <v>6396</v>
      </c>
      <c r="P864" s="47" t="s">
        <v>6397</v>
      </c>
      <c r="Q864" s="47" t="s">
        <v>1463</v>
      </c>
      <c r="R864" s="47" t="s">
        <v>1463</v>
      </c>
      <c r="S864" s="43"/>
      <c r="T864" s="49">
        <v>45541</v>
      </c>
    </row>
    <row r="865" spans="1:20" ht="26.45">
      <c r="A865" s="44" t="s">
        <v>6398</v>
      </c>
      <c r="B865" s="44" t="s">
        <v>6399</v>
      </c>
      <c r="C865" s="45" t="s">
        <v>6400</v>
      </c>
      <c r="D865" s="44" t="s">
        <v>1432</v>
      </c>
      <c r="E865" s="44" t="s">
        <v>1481</v>
      </c>
      <c r="F865" s="44"/>
      <c r="G865" s="44" t="s">
        <v>1687</v>
      </c>
      <c r="H865" s="44" t="s">
        <v>6401</v>
      </c>
      <c r="I865" s="46" t="s">
        <v>6400</v>
      </c>
      <c r="J865" s="46" t="s">
        <v>6402</v>
      </c>
      <c r="K865" s="46" t="s">
        <v>3138</v>
      </c>
      <c r="L865" s="46" t="s">
        <v>1474</v>
      </c>
      <c r="M865" s="46" t="s">
        <v>6403</v>
      </c>
      <c r="N865" s="46" t="s">
        <v>1641</v>
      </c>
      <c r="O865" s="44" t="s">
        <v>6404</v>
      </c>
      <c r="P865" s="44" t="s">
        <v>6405</v>
      </c>
      <c r="Q865" s="44" t="s">
        <v>1695</v>
      </c>
      <c r="R865" s="44" t="s">
        <v>1463</v>
      </c>
      <c r="S865" s="43"/>
      <c r="T865" s="51">
        <v>45287</v>
      </c>
    </row>
    <row r="866" spans="1:20">
      <c r="A866" s="47" t="s">
        <v>6406</v>
      </c>
      <c r="B866" s="47"/>
      <c r="C866" s="48" t="s">
        <v>6407</v>
      </c>
      <c r="D866" s="47" t="s">
        <v>1420</v>
      </c>
      <c r="E866" s="47" t="s">
        <v>1460</v>
      </c>
      <c r="F866" s="49">
        <v>41474.645800115701</v>
      </c>
      <c r="G866" s="47" t="s">
        <v>1466</v>
      </c>
      <c r="H866" s="47"/>
      <c r="I866" s="50"/>
      <c r="J866" s="50"/>
      <c r="K866" s="50"/>
      <c r="L866" s="50"/>
      <c r="M866" s="50"/>
      <c r="N866" s="50"/>
      <c r="O866" s="47"/>
      <c r="P866" s="47"/>
      <c r="Q866" s="47" t="s">
        <v>1463</v>
      </c>
      <c r="R866" s="47" t="s">
        <v>1463</v>
      </c>
      <c r="S866" s="43"/>
      <c r="T866" s="47"/>
    </row>
    <row r="867" spans="1:20" ht="26.45">
      <c r="A867" s="44" t="s">
        <v>6408</v>
      </c>
      <c r="B867" s="44" t="s">
        <v>6409</v>
      </c>
      <c r="C867" s="45" t="s">
        <v>6410</v>
      </c>
      <c r="D867" s="44" t="s">
        <v>1432</v>
      </c>
      <c r="E867" s="44" t="s">
        <v>1481</v>
      </c>
      <c r="F867" s="44"/>
      <c r="G867" s="44" t="s">
        <v>1687</v>
      </c>
      <c r="H867" s="44" t="s">
        <v>6411</v>
      </c>
      <c r="I867" s="46" t="s">
        <v>6410</v>
      </c>
      <c r="J867" s="46" t="s">
        <v>6412</v>
      </c>
      <c r="K867" s="46" t="s">
        <v>6413</v>
      </c>
      <c r="L867" s="46" t="s">
        <v>1474</v>
      </c>
      <c r="M867" s="46" t="s">
        <v>6414</v>
      </c>
      <c r="N867" s="46" t="s">
        <v>1531</v>
      </c>
      <c r="O867" s="44" t="s">
        <v>6415</v>
      </c>
      <c r="P867" s="44" t="s">
        <v>6416</v>
      </c>
      <c r="Q867" s="44" t="s">
        <v>1695</v>
      </c>
      <c r="R867" s="44" t="s">
        <v>1463</v>
      </c>
      <c r="S867" s="43"/>
      <c r="T867" s="51">
        <v>45574</v>
      </c>
    </row>
    <row r="868" spans="1:20" ht="39.6">
      <c r="A868" s="47" t="s">
        <v>6417</v>
      </c>
      <c r="B868" s="47" t="s">
        <v>6418</v>
      </c>
      <c r="C868" s="48" t="s">
        <v>6419</v>
      </c>
      <c r="D868" s="47" t="s">
        <v>1430</v>
      </c>
      <c r="E868" s="47" t="s">
        <v>1481</v>
      </c>
      <c r="F868" s="47"/>
      <c r="G868" s="47" t="s">
        <v>1511</v>
      </c>
      <c r="H868" s="47" t="s">
        <v>6420</v>
      </c>
      <c r="I868" s="50" t="s">
        <v>6421</v>
      </c>
      <c r="J868" s="50" t="s">
        <v>6422</v>
      </c>
      <c r="K868" s="50" t="s">
        <v>3337</v>
      </c>
      <c r="L868" s="50" t="s">
        <v>1504</v>
      </c>
      <c r="M868" s="50" t="s">
        <v>6423</v>
      </c>
      <c r="N868" s="50" t="s">
        <v>1641</v>
      </c>
      <c r="O868" s="47" t="s">
        <v>6424</v>
      </c>
      <c r="P868" s="47"/>
      <c r="Q868" s="47" t="s">
        <v>1463</v>
      </c>
      <c r="R868" s="47" t="s">
        <v>1463</v>
      </c>
      <c r="S868" s="43"/>
      <c r="T868" s="49">
        <v>44665</v>
      </c>
    </row>
    <row r="869" spans="1:20" ht="26.45">
      <c r="A869" s="44" t="s">
        <v>6425</v>
      </c>
      <c r="B869" s="44" t="s">
        <v>6426</v>
      </c>
      <c r="C869" s="45" t="s">
        <v>6427</v>
      </c>
      <c r="D869" s="44" t="s">
        <v>1432</v>
      </c>
      <c r="E869" s="44" t="s">
        <v>1481</v>
      </c>
      <c r="F869" s="44"/>
      <c r="G869" s="44" t="s">
        <v>1663</v>
      </c>
      <c r="H869" s="44" t="s">
        <v>6428</v>
      </c>
      <c r="I869" s="46" t="s">
        <v>6427</v>
      </c>
      <c r="J869" s="46" t="s">
        <v>6429</v>
      </c>
      <c r="K869" s="46" t="s">
        <v>4785</v>
      </c>
      <c r="L869" s="46" t="s">
        <v>2117</v>
      </c>
      <c r="M869" s="46" t="s">
        <v>6430</v>
      </c>
      <c r="N869" s="46" t="s">
        <v>1641</v>
      </c>
      <c r="O869" s="44" t="s">
        <v>6431</v>
      </c>
      <c r="P869" s="44" t="s">
        <v>6432</v>
      </c>
      <c r="Q869" s="44" t="s">
        <v>1463</v>
      </c>
      <c r="R869" s="44" t="s">
        <v>1463</v>
      </c>
      <c r="S869" s="43"/>
      <c r="T869" s="51">
        <v>45624</v>
      </c>
    </row>
    <row r="870" spans="1:20" ht="26.45">
      <c r="A870" s="47" t="s">
        <v>1075</v>
      </c>
      <c r="B870" s="47" t="s">
        <v>6433</v>
      </c>
      <c r="C870" s="48" t="s">
        <v>1076</v>
      </c>
      <c r="D870" s="47" t="s">
        <v>1430</v>
      </c>
      <c r="E870" s="47" t="s">
        <v>1481</v>
      </c>
      <c r="F870" s="47"/>
      <c r="G870" s="47" t="s">
        <v>1466</v>
      </c>
      <c r="H870" s="47" t="s">
        <v>6434</v>
      </c>
      <c r="I870" s="50" t="s">
        <v>1076</v>
      </c>
      <c r="J870" s="50" t="s">
        <v>6435</v>
      </c>
      <c r="K870" s="50" t="s">
        <v>3337</v>
      </c>
      <c r="L870" s="50" t="s">
        <v>1504</v>
      </c>
      <c r="M870" s="50" t="s">
        <v>6436</v>
      </c>
      <c r="N870" s="50" t="s">
        <v>1641</v>
      </c>
      <c r="O870" s="47" t="s">
        <v>6437</v>
      </c>
      <c r="P870" s="47" t="s">
        <v>6438</v>
      </c>
      <c r="Q870" s="47" t="s">
        <v>1463</v>
      </c>
      <c r="R870" s="47" t="s">
        <v>1463</v>
      </c>
      <c r="S870" s="43"/>
      <c r="T870" s="49">
        <v>45328</v>
      </c>
    </row>
    <row r="871" spans="1:20" ht="26.45">
      <c r="A871" s="44" t="s">
        <v>6439</v>
      </c>
      <c r="B871" s="44" t="s">
        <v>6440</v>
      </c>
      <c r="C871" s="45" t="s">
        <v>6441</v>
      </c>
      <c r="D871" s="44" t="s">
        <v>1419</v>
      </c>
      <c r="E871" s="44" t="s">
        <v>1481</v>
      </c>
      <c r="F871" s="44"/>
      <c r="G871" s="44" t="s">
        <v>1490</v>
      </c>
      <c r="H871" s="44"/>
      <c r="I871" s="46" t="s">
        <v>6441</v>
      </c>
      <c r="J871" s="46" t="s">
        <v>6442</v>
      </c>
      <c r="K871" s="46" t="s">
        <v>1523</v>
      </c>
      <c r="L871" s="46" t="s">
        <v>1504</v>
      </c>
      <c r="M871" s="46" t="s">
        <v>6443</v>
      </c>
      <c r="N871" s="46"/>
      <c r="O871" s="44"/>
      <c r="P871" s="44"/>
      <c r="Q871" s="44" t="s">
        <v>1463</v>
      </c>
      <c r="R871" s="44" t="s">
        <v>1463</v>
      </c>
      <c r="S871" s="43"/>
      <c r="T871" s="44"/>
    </row>
    <row r="872" spans="1:20" ht="26.45">
      <c r="A872" s="47" t="s">
        <v>353</v>
      </c>
      <c r="B872" s="47" t="s">
        <v>6444</v>
      </c>
      <c r="C872" s="48" t="s">
        <v>1077</v>
      </c>
      <c r="D872" s="47" t="s">
        <v>1414</v>
      </c>
      <c r="E872" s="47" t="s">
        <v>1481</v>
      </c>
      <c r="F872" s="47"/>
      <c r="G872" s="47" t="s">
        <v>1466</v>
      </c>
      <c r="H872" s="47" t="s">
        <v>6445</v>
      </c>
      <c r="I872" s="50" t="s">
        <v>1077</v>
      </c>
      <c r="J872" s="50" t="s">
        <v>6446</v>
      </c>
      <c r="K872" s="50" t="s">
        <v>1484</v>
      </c>
      <c r="L872" s="50" t="s">
        <v>1474</v>
      </c>
      <c r="M872" s="50" t="s">
        <v>6447</v>
      </c>
      <c r="N872" s="50" t="s">
        <v>1629</v>
      </c>
      <c r="O872" s="47" t="s">
        <v>6448</v>
      </c>
      <c r="P872" s="47" t="s">
        <v>6449</v>
      </c>
      <c r="Q872" s="47" t="s">
        <v>1463</v>
      </c>
      <c r="R872" s="47" t="s">
        <v>1463</v>
      </c>
      <c r="S872" s="43"/>
      <c r="T872" s="49">
        <v>45513</v>
      </c>
    </row>
    <row r="873" spans="1:20">
      <c r="A873" s="44" t="s">
        <v>6450</v>
      </c>
      <c r="B873" s="44" t="s">
        <v>6451</v>
      </c>
      <c r="C873" s="45" t="s">
        <v>6452</v>
      </c>
      <c r="D873" s="44" t="s">
        <v>1414</v>
      </c>
      <c r="E873" s="44" t="s">
        <v>1481</v>
      </c>
      <c r="F873" s="44"/>
      <c r="G873" s="44" t="s">
        <v>1663</v>
      </c>
      <c r="H873" s="44" t="s">
        <v>6453</v>
      </c>
      <c r="I873" s="46" t="s">
        <v>6452</v>
      </c>
      <c r="J873" s="46" t="s">
        <v>6454</v>
      </c>
      <c r="K873" s="46" t="s">
        <v>1484</v>
      </c>
      <c r="L873" s="46" t="s">
        <v>1504</v>
      </c>
      <c r="M873" s="46" t="s">
        <v>6455</v>
      </c>
      <c r="N873" s="46" t="s">
        <v>1629</v>
      </c>
      <c r="O873" s="44" t="s">
        <v>6456</v>
      </c>
      <c r="P873" s="44"/>
      <c r="Q873" s="44" t="s">
        <v>1463</v>
      </c>
      <c r="R873" s="44" t="s">
        <v>1463</v>
      </c>
      <c r="S873" s="43"/>
      <c r="T873" s="51">
        <v>44435</v>
      </c>
    </row>
    <row r="874" spans="1:20">
      <c r="A874" s="47" t="s">
        <v>6457</v>
      </c>
      <c r="B874" s="47" t="s">
        <v>6458</v>
      </c>
      <c r="C874" s="48" t="s">
        <v>6459</v>
      </c>
      <c r="D874" s="47" t="s">
        <v>1414</v>
      </c>
      <c r="E874" s="47" t="s">
        <v>1481</v>
      </c>
      <c r="F874" s="47"/>
      <c r="G874" s="47" t="s">
        <v>1466</v>
      </c>
      <c r="H874" s="47" t="s">
        <v>6460</v>
      </c>
      <c r="I874" s="50" t="s">
        <v>6459</v>
      </c>
      <c r="J874" s="50"/>
      <c r="K874" s="50"/>
      <c r="L874" s="50"/>
      <c r="M874" s="50"/>
      <c r="N874" s="50"/>
      <c r="O874" s="47"/>
      <c r="P874" s="47"/>
      <c r="Q874" s="47" t="s">
        <v>1463</v>
      </c>
      <c r="R874" s="47" t="s">
        <v>1463</v>
      </c>
      <c r="S874" s="43"/>
      <c r="T874" s="47"/>
    </row>
    <row r="875" spans="1:20" ht="26.45">
      <c r="A875" s="44" t="s">
        <v>6461</v>
      </c>
      <c r="B875" s="44" t="s">
        <v>6462</v>
      </c>
      <c r="C875" s="45" t="s">
        <v>6463</v>
      </c>
      <c r="D875" s="44" t="s">
        <v>1414</v>
      </c>
      <c r="E875" s="44" t="s">
        <v>1481</v>
      </c>
      <c r="F875" s="44"/>
      <c r="G875" s="44" t="s">
        <v>1490</v>
      </c>
      <c r="H875" s="44" t="s">
        <v>6464</v>
      </c>
      <c r="I875" s="46" t="s">
        <v>6463</v>
      </c>
      <c r="J875" s="46" t="s">
        <v>6465</v>
      </c>
      <c r="K875" s="46" t="s">
        <v>2764</v>
      </c>
      <c r="L875" s="46" t="s">
        <v>1504</v>
      </c>
      <c r="M875" s="46" t="s">
        <v>6466</v>
      </c>
      <c r="N875" s="46"/>
      <c r="O875" s="44"/>
      <c r="P875" s="44"/>
      <c r="Q875" s="44" t="s">
        <v>1463</v>
      </c>
      <c r="R875" s="44" t="s">
        <v>1463</v>
      </c>
      <c r="S875" s="43"/>
      <c r="T875" s="44"/>
    </row>
    <row r="876" spans="1:20" ht="26.45">
      <c r="A876" s="47" t="s">
        <v>6467</v>
      </c>
      <c r="B876" s="47" t="s">
        <v>6468</v>
      </c>
      <c r="C876" s="48" t="s">
        <v>6469</v>
      </c>
      <c r="D876" s="47" t="s">
        <v>1419</v>
      </c>
      <c r="E876" s="47" t="s">
        <v>1460</v>
      </c>
      <c r="F876" s="49">
        <v>42452.719779594903</v>
      </c>
      <c r="G876" s="47" t="s">
        <v>1466</v>
      </c>
      <c r="H876" s="47" t="s">
        <v>6470</v>
      </c>
      <c r="I876" s="50" t="s">
        <v>6469</v>
      </c>
      <c r="J876" s="50"/>
      <c r="K876" s="50"/>
      <c r="L876" s="50"/>
      <c r="M876" s="50"/>
      <c r="N876" s="50"/>
      <c r="O876" s="47" t="s">
        <v>2262</v>
      </c>
      <c r="P876" s="47"/>
      <c r="Q876" s="47" t="s">
        <v>1463</v>
      </c>
      <c r="R876" s="47" t="s">
        <v>1463</v>
      </c>
      <c r="S876" s="43"/>
      <c r="T876" s="47"/>
    </row>
    <row r="877" spans="1:20" ht="26.45">
      <c r="A877" s="44" t="s">
        <v>6471</v>
      </c>
      <c r="B877" s="44" t="s">
        <v>6472</v>
      </c>
      <c r="C877" s="45" t="s">
        <v>6473</v>
      </c>
      <c r="D877" s="44" t="s">
        <v>1419</v>
      </c>
      <c r="E877" s="44" t="s">
        <v>1481</v>
      </c>
      <c r="F877" s="44"/>
      <c r="G877" s="44" t="s">
        <v>1466</v>
      </c>
      <c r="H877" s="44" t="s">
        <v>6474</v>
      </c>
      <c r="I877" s="46" t="s">
        <v>6475</v>
      </c>
      <c r="J877" s="46" t="s">
        <v>6476</v>
      </c>
      <c r="K877" s="46" t="s">
        <v>6477</v>
      </c>
      <c r="L877" s="46" t="s">
        <v>6478</v>
      </c>
      <c r="M877" s="46" t="s">
        <v>6479</v>
      </c>
      <c r="N877" s="46" t="s">
        <v>1729</v>
      </c>
      <c r="O877" s="44" t="s">
        <v>6480</v>
      </c>
      <c r="P877" s="44" t="s">
        <v>6481</v>
      </c>
      <c r="Q877" s="44" t="s">
        <v>1463</v>
      </c>
      <c r="R877" s="44" t="s">
        <v>1463</v>
      </c>
      <c r="S877" s="43"/>
      <c r="T877" s="51">
        <v>45447</v>
      </c>
    </row>
    <row r="878" spans="1:20" ht="26.45">
      <c r="A878" s="47" t="s">
        <v>354</v>
      </c>
      <c r="B878" s="47" t="s">
        <v>6482</v>
      </c>
      <c r="C878" s="48" t="s">
        <v>1078</v>
      </c>
      <c r="D878" s="47" t="s">
        <v>1428</v>
      </c>
      <c r="E878" s="47" t="s">
        <v>1481</v>
      </c>
      <c r="F878" s="47"/>
      <c r="G878" s="47" t="s">
        <v>1466</v>
      </c>
      <c r="H878" s="47" t="s">
        <v>6483</v>
      </c>
      <c r="I878" s="50" t="s">
        <v>1078</v>
      </c>
      <c r="J878" s="50" t="s">
        <v>6484</v>
      </c>
      <c r="K878" s="50" t="s">
        <v>2018</v>
      </c>
      <c r="L878" s="50" t="s">
        <v>1474</v>
      </c>
      <c r="M878" s="50" t="s">
        <v>6485</v>
      </c>
      <c r="N878" s="50" t="s">
        <v>1495</v>
      </c>
      <c r="O878" s="47" t="s">
        <v>6486</v>
      </c>
      <c r="P878" s="47" t="s">
        <v>6487</v>
      </c>
      <c r="Q878" s="47" t="s">
        <v>1463</v>
      </c>
      <c r="R878" s="47" t="s">
        <v>1463</v>
      </c>
      <c r="S878" s="43"/>
      <c r="T878" s="49">
        <v>45684</v>
      </c>
    </row>
    <row r="879" spans="1:20" ht="26.45">
      <c r="A879" s="44" t="s">
        <v>6488</v>
      </c>
      <c r="B879" s="44" t="s">
        <v>6489</v>
      </c>
      <c r="C879" s="45" t="s">
        <v>6490</v>
      </c>
      <c r="D879" s="44" t="s">
        <v>1419</v>
      </c>
      <c r="E879" s="44" t="s">
        <v>1460</v>
      </c>
      <c r="F879" s="44"/>
      <c r="G879" s="44" t="s">
        <v>1466</v>
      </c>
      <c r="H879" s="44" t="s">
        <v>6491</v>
      </c>
      <c r="I879" s="46" t="s">
        <v>6490</v>
      </c>
      <c r="J879" s="46" t="s">
        <v>6492</v>
      </c>
      <c r="K879" s="46" t="s">
        <v>2829</v>
      </c>
      <c r="L879" s="46" t="s">
        <v>1504</v>
      </c>
      <c r="M879" s="46" t="s">
        <v>6493</v>
      </c>
      <c r="N879" s="46" t="s">
        <v>1531</v>
      </c>
      <c r="O879" s="44" t="s">
        <v>6494</v>
      </c>
      <c r="P879" s="44"/>
      <c r="Q879" s="44" t="s">
        <v>1463</v>
      </c>
      <c r="R879" s="44" t="s">
        <v>1463</v>
      </c>
      <c r="S879" s="43"/>
      <c r="T879" s="51">
        <v>41788</v>
      </c>
    </row>
    <row r="880" spans="1:20" ht="26.45">
      <c r="A880" s="47" t="s">
        <v>1079</v>
      </c>
      <c r="B880" s="47" t="s">
        <v>6495</v>
      </c>
      <c r="C880" s="48" t="s">
        <v>1080</v>
      </c>
      <c r="D880" s="47" t="s">
        <v>1414</v>
      </c>
      <c r="E880" s="47" t="s">
        <v>1481</v>
      </c>
      <c r="F880" s="47"/>
      <c r="G880" s="47" t="s">
        <v>1466</v>
      </c>
      <c r="H880" s="47" t="s">
        <v>6496</v>
      </c>
      <c r="I880" s="50" t="s">
        <v>1080</v>
      </c>
      <c r="J880" s="50" t="s">
        <v>6497</v>
      </c>
      <c r="K880" s="50" t="s">
        <v>1493</v>
      </c>
      <c r="L880" s="50" t="s">
        <v>1474</v>
      </c>
      <c r="M880" s="50" t="s">
        <v>6498</v>
      </c>
      <c r="N880" s="50" t="s">
        <v>1516</v>
      </c>
      <c r="O880" s="47"/>
      <c r="P880" s="47" t="s">
        <v>6499</v>
      </c>
      <c r="Q880" s="47" t="s">
        <v>1463</v>
      </c>
      <c r="R880" s="47" t="s">
        <v>1463</v>
      </c>
      <c r="S880" s="43"/>
      <c r="T880" s="49">
        <v>45442</v>
      </c>
    </row>
    <row r="881" spans="1:20" ht="26.45">
      <c r="A881" s="44" t="s">
        <v>6500</v>
      </c>
      <c r="B881" s="44" t="s">
        <v>6501</v>
      </c>
      <c r="C881" s="45" t="s">
        <v>6502</v>
      </c>
      <c r="D881" s="44" t="s">
        <v>1414</v>
      </c>
      <c r="E881" s="44" t="s">
        <v>1481</v>
      </c>
      <c r="F881" s="44"/>
      <c r="G881" s="44" t="s">
        <v>1466</v>
      </c>
      <c r="H881" s="44" t="s">
        <v>6503</v>
      </c>
      <c r="I881" s="46" t="s">
        <v>6504</v>
      </c>
      <c r="J881" s="46" t="s">
        <v>6505</v>
      </c>
      <c r="K881" s="46" t="s">
        <v>5793</v>
      </c>
      <c r="L881" s="46" t="s">
        <v>1474</v>
      </c>
      <c r="M881" s="46" t="s">
        <v>6506</v>
      </c>
      <c r="N881" s="46" t="s">
        <v>1641</v>
      </c>
      <c r="O881" s="44" t="s">
        <v>6507</v>
      </c>
      <c r="P881" s="44"/>
      <c r="Q881" s="44" t="s">
        <v>1463</v>
      </c>
      <c r="R881" s="44" t="s">
        <v>1463</v>
      </c>
      <c r="S881" s="43"/>
      <c r="T881" s="51">
        <v>44775</v>
      </c>
    </row>
    <row r="882" spans="1:20">
      <c r="A882" s="47" t="s">
        <v>6508</v>
      </c>
      <c r="B882" s="47" t="s">
        <v>6509</v>
      </c>
      <c r="C882" s="48" t="s">
        <v>6510</v>
      </c>
      <c r="D882" s="47" t="s">
        <v>1419</v>
      </c>
      <c r="E882" s="47" t="s">
        <v>1481</v>
      </c>
      <c r="F882" s="47"/>
      <c r="G882" s="47" t="s">
        <v>1466</v>
      </c>
      <c r="H882" s="47" t="s">
        <v>6511</v>
      </c>
      <c r="I882" s="50" t="s">
        <v>6510</v>
      </c>
      <c r="J882" s="50"/>
      <c r="K882" s="50"/>
      <c r="L882" s="50"/>
      <c r="M882" s="50"/>
      <c r="N882" s="50"/>
      <c r="O882" s="47" t="s">
        <v>6512</v>
      </c>
      <c r="P882" s="47"/>
      <c r="Q882" s="47" t="s">
        <v>1463</v>
      </c>
      <c r="R882" s="47" t="s">
        <v>1463</v>
      </c>
      <c r="S882" s="43"/>
      <c r="T882" s="47"/>
    </row>
    <row r="883" spans="1:20" ht="26.45">
      <c r="A883" s="44" t="s">
        <v>355</v>
      </c>
      <c r="B883" s="44" t="s">
        <v>6513</v>
      </c>
      <c r="C883" s="45" t="s">
        <v>1081</v>
      </c>
      <c r="D883" s="44" t="s">
        <v>1410</v>
      </c>
      <c r="E883" s="44" t="s">
        <v>1481</v>
      </c>
      <c r="F883" s="44"/>
      <c r="G883" s="44" t="s">
        <v>1687</v>
      </c>
      <c r="H883" s="44" t="s">
        <v>6514</v>
      </c>
      <c r="I883" s="46" t="s">
        <v>6515</v>
      </c>
      <c r="J883" s="46" t="s">
        <v>6516</v>
      </c>
      <c r="K883" s="46" t="s">
        <v>6517</v>
      </c>
      <c r="L883" s="46" t="s">
        <v>1504</v>
      </c>
      <c r="M883" s="46" t="s">
        <v>6518</v>
      </c>
      <c r="N883" s="46" t="s">
        <v>1641</v>
      </c>
      <c r="O883" s="44" t="s">
        <v>6519</v>
      </c>
      <c r="P883" s="44" t="s">
        <v>6520</v>
      </c>
      <c r="Q883" s="44" t="s">
        <v>1695</v>
      </c>
      <c r="R883" s="44" t="s">
        <v>1463</v>
      </c>
      <c r="S883" s="43"/>
      <c r="T883" s="51">
        <v>45674</v>
      </c>
    </row>
    <row r="884" spans="1:20" ht="26.45">
      <c r="A884" s="47" t="s">
        <v>356</v>
      </c>
      <c r="B884" s="47" t="s">
        <v>6521</v>
      </c>
      <c r="C884" s="48" t="s">
        <v>1082</v>
      </c>
      <c r="D884" s="47" t="s">
        <v>1419</v>
      </c>
      <c r="E884" s="47" t="s">
        <v>1481</v>
      </c>
      <c r="F884" s="47"/>
      <c r="G884" s="47" t="s">
        <v>1687</v>
      </c>
      <c r="H884" s="47" t="s">
        <v>6522</v>
      </c>
      <c r="I884" s="50" t="s">
        <v>6523</v>
      </c>
      <c r="J884" s="50" t="s">
        <v>6524</v>
      </c>
      <c r="K884" s="50" t="s">
        <v>1523</v>
      </c>
      <c r="L884" s="50" t="s">
        <v>1504</v>
      </c>
      <c r="M884" s="50" t="s">
        <v>6525</v>
      </c>
      <c r="N884" s="50" t="s">
        <v>1495</v>
      </c>
      <c r="O884" s="47" t="s">
        <v>6526</v>
      </c>
      <c r="P884" s="47" t="s">
        <v>6527</v>
      </c>
      <c r="Q884" s="47" t="s">
        <v>1695</v>
      </c>
      <c r="R884" s="47" t="s">
        <v>1463</v>
      </c>
      <c r="S884" s="43"/>
      <c r="T884" s="49">
        <v>45567</v>
      </c>
    </row>
    <row r="885" spans="1:20">
      <c r="A885" s="44" t="s">
        <v>6528</v>
      </c>
      <c r="B885" s="44" t="s">
        <v>6529</v>
      </c>
      <c r="C885" s="45" t="s">
        <v>6530</v>
      </c>
      <c r="D885" s="44" t="s">
        <v>1419</v>
      </c>
      <c r="E885" s="44" t="s">
        <v>1481</v>
      </c>
      <c r="F885" s="44"/>
      <c r="G885" s="44" t="s">
        <v>1618</v>
      </c>
      <c r="H885" s="44" t="s">
        <v>6531</v>
      </c>
      <c r="I885" s="46" t="s">
        <v>6532</v>
      </c>
      <c r="J885" s="46" t="s">
        <v>6533</v>
      </c>
      <c r="K885" s="46" t="s">
        <v>1549</v>
      </c>
      <c r="L885" s="46" t="s">
        <v>1504</v>
      </c>
      <c r="M885" s="46" t="s">
        <v>6534</v>
      </c>
      <c r="N885" s="46" t="s">
        <v>1495</v>
      </c>
      <c r="O885" s="44" t="s">
        <v>6535</v>
      </c>
      <c r="P885" s="44"/>
      <c r="Q885" s="44" t="s">
        <v>1463</v>
      </c>
      <c r="R885" s="44" t="s">
        <v>1463</v>
      </c>
      <c r="S885" s="43"/>
      <c r="T885" s="51">
        <v>43861</v>
      </c>
    </row>
    <row r="886" spans="1:20" ht="26.45">
      <c r="A886" s="47" t="s">
        <v>6536</v>
      </c>
      <c r="B886" s="47" t="s">
        <v>6537</v>
      </c>
      <c r="C886" s="48" t="s">
        <v>6538</v>
      </c>
      <c r="D886" s="47" t="s">
        <v>1414</v>
      </c>
      <c r="E886" s="47" t="s">
        <v>1481</v>
      </c>
      <c r="F886" s="47"/>
      <c r="G886" s="47" t="s">
        <v>3395</v>
      </c>
      <c r="H886" s="47"/>
      <c r="I886" s="50"/>
      <c r="J886" s="50"/>
      <c r="K886" s="50"/>
      <c r="L886" s="50"/>
      <c r="M886" s="50"/>
      <c r="N886" s="50"/>
      <c r="O886" s="47"/>
      <c r="P886" s="47"/>
      <c r="Q886" s="47" t="s">
        <v>1463</v>
      </c>
      <c r="R886" s="47" t="s">
        <v>1463</v>
      </c>
      <c r="S886" s="43"/>
      <c r="T886" s="47"/>
    </row>
    <row r="887" spans="1:20" ht="26.45">
      <c r="A887" s="44" t="s">
        <v>6539</v>
      </c>
      <c r="B887" s="44" t="s">
        <v>6540</v>
      </c>
      <c r="C887" s="45" t="s">
        <v>6541</v>
      </c>
      <c r="D887" s="44" t="s">
        <v>1419</v>
      </c>
      <c r="E887" s="44" t="s">
        <v>1481</v>
      </c>
      <c r="F887" s="44"/>
      <c r="G887" s="44" t="s">
        <v>1490</v>
      </c>
      <c r="H887" s="44" t="s">
        <v>6542</v>
      </c>
      <c r="I887" s="46" t="s">
        <v>6541</v>
      </c>
      <c r="J887" s="46" t="s">
        <v>6543</v>
      </c>
      <c r="K887" s="46" t="s">
        <v>1523</v>
      </c>
      <c r="L887" s="46" t="s">
        <v>1504</v>
      </c>
      <c r="M887" s="46" t="s">
        <v>6544</v>
      </c>
      <c r="N887" s="46" t="s">
        <v>1629</v>
      </c>
      <c r="O887" s="44"/>
      <c r="P887" s="44"/>
      <c r="Q887" s="44" t="s">
        <v>1463</v>
      </c>
      <c r="R887" s="44" t="s">
        <v>1463</v>
      </c>
      <c r="S887" s="43"/>
      <c r="T887" s="44"/>
    </row>
    <row r="888" spans="1:20" ht="26.45">
      <c r="A888" s="47" t="s">
        <v>357</v>
      </c>
      <c r="B888" s="47" t="s">
        <v>6545</v>
      </c>
      <c r="C888" s="48" t="s">
        <v>1083</v>
      </c>
      <c r="D888" s="47" t="s">
        <v>1416</v>
      </c>
      <c r="E888" s="47" t="s">
        <v>1481</v>
      </c>
      <c r="F888" s="47"/>
      <c r="G888" s="47" t="s">
        <v>1687</v>
      </c>
      <c r="H888" s="47" t="s">
        <v>6546</v>
      </c>
      <c r="I888" s="50" t="s">
        <v>6547</v>
      </c>
      <c r="J888" s="50" t="s">
        <v>6548</v>
      </c>
      <c r="K888" s="50" t="s">
        <v>6549</v>
      </c>
      <c r="L888" s="50" t="s">
        <v>1474</v>
      </c>
      <c r="M888" s="50" t="s">
        <v>6550</v>
      </c>
      <c r="N888" s="50" t="s">
        <v>1476</v>
      </c>
      <c r="O888" s="47" t="s">
        <v>6551</v>
      </c>
      <c r="P888" s="47" t="s">
        <v>6552</v>
      </c>
      <c r="Q888" s="47" t="s">
        <v>1695</v>
      </c>
      <c r="R888" s="47" t="s">
        <v>1463</v>
      </c>
      <c r="S888" s="43"/>
      <c r="T888" s="49">
        <v>45621</v>
      </c>
    </row>
    <row r="889" spans="1:20" ht="26.45">
      <c r="A889" s="44" t="s">
        <v>358</v>
      </c>
      <c r="B889" s="44" t="s">
        <v>6553</v>
      </c>
      <c r="C889" s="45" t="s">
        <v>1084</v>
      </c>
      <c r="D889" s="44" t="s">
        <v>1419</v>
      </c>
      <c r="E889" s="44" t="s">
        <v>1481</v>
      </c>
      <c r="F889" s="44"/>
      <c r="G889" s="44" t="s">
        <v>1466</v>
      </c>
      <c r="H889" s="44" t="s">
        <v>6554</v>
      </c>
      <c r="I889" s="46" t="s">
        <v>1084</v>
      </c>
      <c r="J889" s="46" t="s">
        <v>6555</v>
      </c>
      <c r="K889" s="46" t="s">
        <v>6556</v>
      </c>
      <c r="L889" s="46" t="s">
        <v>1474</v>
      </c>
      <c r="M889" s="46" t="s">
        <v>6557</v>
      </c>
      <c r="N889" s="46" t="s">
        <v>1629</v>
      </c>
      <c r="O889" s="44" t="s">
        <v>6558</v>
      </c>
      <c r="P889" s="44" t="s">
        <v>6559</v>
      </c>
      <c r="Q889" s="44" t="s">
        <v>1463</v>
      </c>
      <c r="R889" s="44" t="s">
        <v>1463</v>
      </c>
      <c r="S889" s="43"/>
      <c r="T889" s="51">
        <v>45561</v>
      </c>
    </row>
    <row r="890" spans="1:20">
      <c r="A890" s="47" t="s">
        <v>6560</v>
      </c>
      <c r="B890" s="47"/>
      <c r="C890" s="48" t="s">
        <v>6561</v>
      </c>
      <c r="D890" s="47" t="s">
        <v>1419</v>
      </c>
      <c r="E890" s="47" t="s">
        <v>1460</v>
      </c>
      <c r="F890" s="49">
        <v>41457.382441435198</v>
      </c>
      <c r="G890" s="47" t="s">
        <v>1663</v>
      </c>
      <c r="H890" s="47" t="s">
        <v>6562</v>
      </c>
      <c r="I890" s="50"/>
      <c r="J890" s="50"/>
      <c r="K890" s="50"/>
      <c r="L890" s="50"/>
      <c r="M890" s="50"/>
      <c r="N890" s="50"/>
      <c r="O890" s="47"/>
      <c r="P890" s="47"/>
      <c r="Q890" s="47" t="s">
        <v>1463</v>
      </c>
      <c r="R890" s="47" t="s">
        <v>1463</v>
      </c>
      <c r="S890" s="43"/>
      <c r="T890" s="47"/>
    </row>
    <row r="891" spans="1:20" ht="26.45">
      <c r="A891" s="44" t="s">
        <v>1085</v>
      </c>
      <c r="B891" s="44" t="s">
        <v>6563</v>
      </c>
      <c r="C891" s="45" t="s">
        <v>1086</v>
      </c>
      <c r="D891" s="44" t="s">
        <v>1420</v>
      </c>
      <c r="E891" s="44" t="s">
        <v>1481</v>
      </c>
      <c r="F891" s="44"/>
      <c r="G891" s="44" t="s">
        <v>1466</v>
      </c>
      <c r="H891" s="44" t="s">
        <v>6564</v>
      </c>
      <c r="I891" s="46" t="s">
        <v>6565</v>
      </c>
      <c r="J891" s="46" t="s">
        <v>6566</v>
      </c>
      <c r="K891" s="46" t="s">
        <v>1473</v>
      </c>
      <c r="L891" s="46" t="s">
        <v>2117</v>
      </c>
      <c r="M891" s="46" t="s">
        <v>6567</v>
      </c>
      <c r="N891" s="46" t="s">
        <v>1531</v>
      </c>
      <c r="O891" s="44" t="s">
        <v>6568</v>
      </c>
      <c r="P891" s="44" t="s">
        <v>6569</v>
      </c>
      <c r="Q891" s="44" t="s">
        <v>1463</v>
      </c>
      <c r="R891" s="44" t="s">
        <v>1463</v>
      </c>
      <c r="S891" s="43"/>
      <c r="T891" s="51">
        <v>45701</v>
      </c>
    </row>
    <row r="892" spans="1:20" ht="26.45">
      <c r="A892" s="47" t="s">
        <v>359</v>
      </c>
      <c r="B892" s="47" t="s">
        <v>6570</v>
      </c>
      <c r="C892" s="48" t="s">
        <v>1087</v>
      </c>
      <c r="D892" s="47" t="s">
        <v>1430</v>
      </c>
      <c r="E892" s="47" t="s">
        <v>1481</v>
      </c>
      <c r="F892" s="47"/>
      <c r="G892" s="47" t="s">
        <v>1687</v>
      </c>
      <c r="H892" s="47" t="s">
        <v>6571</v>
      </c>
      <c r="I892" s="50" t="s">
        <v>1087</v>
      </c>
      <c r="J892" s="50" t="s">
        <v>6572</v>
      </c>
      <c r="K892" s="50" t="s">
        <v>3317</v>
      </c>
      <c r="L892" s="50" t="s">
        <v>1504</v>
      </c>
      <c r="M892" s="50" t="s">
        <v>6573</v>
      </c>
      <c r="N892" s="50" t="s">
        <v>1641</v>
      </c>
      <c r="O892" s="47" t="s">
        <v>6574</v>
      </c>
      <c r="P892" s="47" t="s">
        <v>6575</v>
      </c>
      <c r="Q892" s="47" t="s">
        <v>1695</v>
      </c>
      <c r="R892" s="47" t="s">
        <v>1463</v>
      </c>
      <c r="S892" s="43"/>
      <c r="T892" s="49">
        <v>45434</v>
      </c>
    </row>
    <row r="893" spans="1:20" ht="26.45">
      <c r="A893" s="44" t="s">
        <v>360</v>
      </c>
      <c r="B893" s="44" t="s">
        <v>6576</v>
      </c>
      <c r="C893" s="45" t="s">
        <v>1088</v>
      </c>
      <c r="D893" s="44" t="s">
        <v>1430</v>
      </c>
      <c r="E893" s="44" t="s">
        <v>1481</v>
      </c>
      <c r="F893" s="44"/>
      <c r="G893" s="44" t="s">
        <v>1466</v>
      </c>
      <c r="H893" s="44" t="s">
        <v>6577</v>
      </c>
      <c r="I893" s="46" t="s">
        <v>1088</v>
      </c>
      <c r="J893" s="46" t="s">
        <v>6578</v>
      </c>
      <c r="K893" s="46" t="s">
        <v>3337</v>
      </c>
      <c r="L893" s="46" t="s">
        <v>1474</v>
      </c>
      <c r="M893" s="46" t="s">
        <v>6579</v>
      </c>
      <c r="N893" s="46" t="s">
        <v>1531</v>
      </c>
      <c r="O893" s="44" t="s">
        <v>6580</v>
      </c>
      <c r="P893" s="44" t="s">
        <v>6581</v>
      </c>
      <c r="Q893" s="44" t="s">
        <v>1463</v>
      </c>
      <c r="R893" s="44" t="s">
        <v>1463</v>
      </c>
      <c r="S893" s="43"/>
      <c r="T893" s="51">
        <v>45621</v>
      </c>
    </row>
    <row r="894" spans="1:20">
      <c r="A894" s="47" t="s">
        <v>6582</v>
      </c>
      <c r="B894" s="47" t="s">
        <v>6583</v>
      </c>
      <c r="C894" s="48" t="s">
        <v>6584</v>
      </c>
      <c r="D894" s="47" t="s">
        <v>1424</v>
      </c>
      <c r="E894" s="47" t="s">
        <v>1460</v>
      </c>
      <c r="F894" s="49">
        <v>44386.905144675897</v>
      </c>
      <c r="G894" s="47" t="s">
        <v>1466</v>
      </c>
      <c r="H894" s="47" t="s">
        <v>6585</v>
      </c>
      <c r="I894" s="50" t="s">
        <v>6586</v>
      </c>
      <c r="J894" s="50" t="s">
        <v>6587</v>
      </c>
      <c r="K894" s="50" t="s">
        <v>2778</v>
      </c>
      <c r="L894" s="50" t="s">
        <v>1504</v>
      </c>
      <c r="M894" s="50" t="s">
        <v>6588</v>
      </c>
      <c r="N894" s="50" t="s">
        <v>1629</v>
      </c>
      <c r="O894" s="47" t="s">
        <v>6589</v>
      </c>
      <c r="P894" s="47"/>
      <c r="Q894" s="47" t="s">
        <v>1463</v>
      </c>
      <c r="R894" s="47" t="s">
        <v>1463</v>
      </c>
      <c r="S894" s="43"/>
      <c r="T894" s="49">
        <v>44566</v>
      </c>
    </row>
    <row r="895" spans="1:20" ht="26.45">
      <c r="A895" s="44" t="s">
        <v>361</v>
      </c>
      <c r="B895" s="44" t="s">
        <v>6590</v>
      </c>
      <c r="C895" s="45" t="s">
        <v>1089</v>
      </c>
      <c r="D895" s="44" t="s">
        <v>1420</v>
      </c>
      <c r="E895" s="44" t="s">
        <v>1481</v>
      </c>
      <c r="F895" s="44"/>
      <c r="G895" s="44" t="s">
        <v>1466</v>
      </c>
      <c r="H895" s="44" t="s">
        <v>6591</v>
      </c>
      <c r="I895" s="46" t="s">
        <v>1089</v>
      </c>
      <c r="J895" s="46" t="s">
        <v>6592</v>
      </c>
      <c r="K895" s="46" t="s">
        <v>3443</v>
      </c>
      <c r="L895" s="46" t="s">
        <v>1504</v>
      </c>
      <c r="M895" s="46" t="s">
        <v>6593</v>
      </c>
      <c r="N895" s="46" t="s">
        <v>1531</v>
      </c>
      <c r="O895" s="44" t="s">
        <v>6594</v>
      </c>
      <c r="P895" s="44" t="s">
        <v>6595</v>
      </c>
      <c r="Q895" s="44" t="s">
        <v>1463</v>
      </c>
      <c r="R895" s="44" t="s">
        <v>1463</v>
      </c>
      <c r="S895" s="43"/>
      <c r="T895" s="51">
        <v>45425</v>
      </c>
    </row>
    <row r="896" spans="1:20" ht="26.45">
      <c r="A896" s="47" t="s">
        <v>362</v>
      </c>
      <c r="B896" s="47" t="s">
        <v>6596</v>
      </c>
      <c r="C896" s="48" t="s">
        <v>1090</v>
      </c>
      <c r="D896" s="47" t="s">
        <v>1419</v>
      </c>
      <c r="E896" s="47" t="s">
        <v>1481</v>
      </c>
      <c r="F896" s="47"/>
      <c r="G896" s="47" t="s">
        <v>1687</v>
      </c>
      <c r="H896" s="47" t="s">
        <v>6597</v>
      </c>
      <c r="I896" s="50" t="s">
        <v>6598</v>
      </c>
      <c r="J896" s="50" t="s">
        <v>6599</v>
      </c>
      <c r="K896" s="50" t="s">
        <v>6600</v>
      </c>
      <c r="L896" s="50" t="s">
        <v>1504</v>
      </c>
      <c r="M896" s="50" t="s">
        <v>6601</v>
      </c>
      <c r="N896" s="50" t="s">
        <v>1516</v>
      </c>
      <c r="O896" s="47" t="s">
        <v>6602</v>
      </c>
      <c r="P896" s="47" t="s">
        <v>6603</v>
      </c>
      <c r="Q896" s="47" t="s">
        <v>1695</v>
      </c>
      <c r="R896" s="47" t="s">
        <v>1463</v>
      </c>
      <c r="S896" s="43"/>
      <c r="T896" s="49">
        <v>45643</v>
      </c>
    </row>
    <row r="897" spans="1:20" ht="26.45">
      <c r="A897" s="44" t="s">
        <v>363</v>
      </c>
      <c r="B897" s="44" t="s">
        <v>6604</v>
      </c>
      <c r="C897" s="45" t="s">
        <v>1091</v>
      </c>
      <c r="D897" s="44" t="s">
        <v>1419</v>
      </c>
      <c r="E897" s="44" t="s">
        <v>1481</v>
      </c>
      <c r="F897" s="44"/>
      <c r="G897" s="44" t="s">
        <v>1687</v>
      </c>
      <c r="H897" s="44" t="s">
        <v>6605</v>
      </c>
      <c r="I897" s="46" t="s">
        <v>6606</v>
      </c>
      <c r="J897" s="46" t="s">
        <v>6607</v>
      </c>
      <c r="K897" s="46" t="s">
        <v>4399</v>
      </c>
      <c r="L897" s="46" t="s">
        <v>1504</v>
      </c>
      <c r="M897" s="46" t="s">
        <v>6608</v>
      </c>
      <c r="N897" s="46" t="s">
        <v>1495</v>
      </c>
      <c r="O897" s="44" t="s">
        <v>6609</v>
      </c>
      <c r="P897" s="44" t="s">
        <v>6610</v>
      </c>
      <c r="Q897" s="44" t="s">
        <v>1695</v>
      </c>
      <c r="R897" s="44" t="s">
        <v>1463</v>
      </c>
      <c r="S897" s="43"/>
      <c r="T897" s="51">
        <v>45372</v>
      </c>
    </row>
    <row r="898" spans="1:20" ht="26.45">
      <c r="A898" s="47" t="s">
        <v>364</v>
      </c>
      <c r="B898" s="47" t="s">
        <v>6611</v>
      </c>
      <c r="C898" s="48" t="s">
        <v>1092</v>
      </c>
      <c r="D898" s="47" t="s">
        <v>1428</v>
      </c>
      <c r="E898" s="47" t="s">
        <v>1481</v>
      </c>
      <c r="F898" s="47"/>
      <c r="G898" s="47" t="s">
        <v>1687</v>
      </c>
      <c r="H898" s="47" t="s">
        <v>6612</v>
      </c>
      <c r="I898" s="50" t="s">
        <v>1092</v>
      </c>
      <c r="J898" s="50" t="s">
        <v>6613</v>
      </c>
      <c r="K898" s="50" t="s">
        <v>6614</v>
      </c>
      <c r="L898" s="50" t="s">
        <v>1504</v>
      </c>
      <c r="M898" s="50" t="s">
        <v>6615</v>
      </c>
      <c r="N898" s="50" t="s">
        <v>1531</v>
      </c>
      <c r="O898" s="47" t="s">
        <v>6616</v>
      </c>
      <c r="P898" s="47" t="s">
        <v>6617</v>
      </c>
      <c r="Q898" s="47" t="s">
        <v>1695</v>
      </c>
      <c r="R898" s="47" t="s">
        <v>1463</v>
      </c>
      <c r="S898" s="43"/>
      <c r="T898" s="49">
        <v>45322</v>
      </c>
    </row>
    <row r="899" spans="1:20" ht="26.45">
      <c r="A899" s="44" t="s">
        <v>365</v>
      </c>
      <c r="B899" s="44" t="s">
        <v>6618</v>
      </c>
      <c r="C899" s="45" t="s">
        <v>1093</v>
      </c>
      <c r="D899" s="44" t="s">
        <v>1419</v>
      </c>
      <c r="E899" s="44" t="s">
        <v>1481</v>
      </c>
      <c r="F899" s="44"/>
      <c r="G899" s="44" t="s">
        <v>1466</v>
      </c>
      <c r="H899" s="44" t="s">
        <v>6619</v>
      </c>
      <c r="I899" s="46" t="s">
        <v>6620</v>
      </c>
      <c r="J899" s="46" t="s">
        <v>6621</v>
      </c>
      <c r="K899" s="46" t="s">
        <v>1493</v>
      </c>
      <c r="L899" s="46" t="s">
        <v>1504</v>
      </c>
      <c r="M899" s="46" t="s">
        <v>6622</v>
      </c>
      <c r="N899" s="46" t="s">
        <v>1629</v>
      </c>
      <c r="O899" s="44" t="s">
        <v>6623</v>
      </c>
      <c r="P899" s="44" t="s">
        <v>6624</v>
      </c>
      <c r="Q899" s="44" t="s">
        <v>1463</v>
      </c>
      <c r="R899" s="44" t="s">
        <v>1463</v>
      </c>
      <c r="S899" s="43"/>
      <c r="T899" s="51">
        <v>45391</v>
      </c>
    </row>
    <row r="900" spans="1:20">
      <c r="A900" s="47" t="s">
        <v>6625</v>
      </c>
      <c r="B900" s="47"/>
      <c r="C900" s="48" t="s">
        <v>6626</v>
      </c>
      <c r="D900" s="47" t="s">
        <v>1414</v>
      </c>
      <c r="E900" s="47" t="s">
        <v>1460</v>
      </c>
      <c r="F900" s="49">
        <v>41457.382443287002</v>
      </c>
      <c r="G900" s="47" t="s">
        <v>1466</v>
      </c>
      <c r="H900" s="47"/>
      <c r="I900" s="50"/>
      <c r="J900" s="50"/>
      <c r="K900" s="50"/>
      <c r="L900" s="50"/>
      <c r="M900" s="50"/>
      <c r="N900" s="50"/>
      <c r="O900" s="47"/>
      <c r="P900" s="47"/>
      <c r="Q900" s="47" t="s">
        <v>1463</v>
      </c>
      <c r="R900" s="47" t="s">
        <v>1463</v>
      </c>
      <c r="S900" s="43"/>
      <c r="T900" s="47"/>
    </row>
    <row r="901" spans="1:20" ht="26.45">
      <c r="A901" s="44" t="s">
        <v>366</v>
      </c>
      <c r="B901" s="44" t="s">
        <v>6627</v>
      </c>
      <c r="C901" s="45" t="s">
        <v>1094</v>
      </c>
      <c r="D901" s="44" t="s">
        <v>1419</v>
      </c>
      <c r="E901" s="44" t="s">
        <v>1481</v>
      </c>
      <c r="F901" s="44"/>
      <c r="G901" s="44" t="s">
        <v>1687</v>
      </c>
      <c r="H901" s="44" t="s">
        <v>6628</v>
      </c>
      <c r="I901" s="46" t="s">
        <v>6629</v>
      </c>
      <c r="J901" s="46" t="s">
        <v>6630</v>
      </c>
      <c r="K901" s="46" t="s">
        <v>1493</v>
      </c>
      <c r="L901" s="46" t="s">
        <v>1419</v>
      </c>
      <c r="M901" s="46" t="s">
        <v>6631</v>
      </c>
      <c r="N901" s="46" t="s">
        <v>1525</v>
      </c>
      <c r="O901" s="44" t="s">
        <v>6632</v>
      </c>
      <c r="P901" s="44" t="s">
        <v>6633</v>
      </c>
      <c r="Q901" s="44" t="s">
        <v>1463</v>
      </c>
      <c r="R901" s="44" t="s">
        <v>1463</v>
      </c>
      <c r="S901" s="43"/>
      <c r="T901" s="51">
        <v>45323</v>
      </c>
    </row>
    <row r="902" spans="1:20">
      <c r="A902" s="47" t="s">
        <v>367</v>
      </c>
      <c r="B902" s="47" t="s">
        <v>6634</v>
      </c>
      <c r="C902" s="48" t="s">
        <v>1095</v>
      </c>
      <c r="D902" s="47" t="s">
        <v>1419</v>
      </c>
      <c r="E902" s="47" t="s">
        <v>1481</v>
      </c>
      <c r="F902" s="47"/>
      <c r="G902" s="47" t="s">
        <v>1466</v>
      </c>
      <c r="H902" s="47" t="s">
        <v>6635</v>
      </c>
      <c r="I902" s="50" t="s">
        <v>6636</v>
      </c>
      <c r="J902" s="50" t="s">
        <v>6637</v>
      </c>
      <c r="K902" s="50" t="s">
        <v>6638</v>
      </c>
      <c r="L902" s="50" t="s">
        <v>1474</v>
      </c>
      <c r="M902" s="50" t="s">
        <v>6639</v>
      </c>
      <c r="N902" s="50" t="s">
        <v>1729</v>
      </c>
      <c r="O902" s="47" t="s">
        <v>6640</v>
      </c>
      <c r="P902" s="47" t="s">
        <v>6641</v>
      </c>
      <c r="Q902" s="47" t="s">
        <v>1463</v>
      </c>
      <c r="R902" s="47" t="s">
        <v>1463</v>
      </c>
      <c r="S902" s="43"/>
      <c r="T902" s="49">
        <v>45331</v>
      </c>
    </row>
    <row r="903" spans="1:20" ht="26.45">
      <c r="A903" s="44" t="s">
        <v>6642</v>
      </c>
      <c r="B903" s="44" t="s">
        <v>6643</v>
      </c>
      <c r="C903" s="45" t="s">
        <v>6644</v>
      </c>
      <c r="D903" s="44" t="s">
        <v>1419</v>
      </c>
      <c r="E903" s="44" t="s">
        <v>1481</v>
      </c>
      <c r="F903" s="44"/>
      <c r="G903" s="44" t="s">
        <v>1466</v>
      </c>
      <c r="H903" s="44" t="s">
        <v>6645</v>
      </c>
      <c r="I903" s="46" t="s">
        <v>6644</v>
      </c>
      <c r="J903" s="46" t="s">
        <v>6646</v>
      </c>
      <c r="K903" s="46" t="s">
        <v>1727</v>
      </c>
      <c r="L903" s="46" t="s">
        <v>1504</v>
      </c>
      <c r="M903" s="46" t="s">
        <v>6647</v>
      </c>
      <c r="N903" s="46" t="s">
        <v>1729</v>
      </c>
      <c r="O903" s="44" t="s">
        <v>6648</v>
      </c>
      <c r="P903" s="44" t="s">
        <v>6649</v>
      </c>
      <c r="Q903" s="44" t="s">
        <v>1463</v>
      </c>
      <c r="R903" s="44" t="s">
        <v>1463</v>
      </c>
      <c r="S903" s="43"/>
      <c r="T903" s="51">
        <v>45364</v>
      </c>
    </row>
    <row r="904" spans="1:20" ht="26.45">
      <c r="A904" s="47" t="s">
        <v>6650</v>
      </c>
      <c r="B904" s="47" t="s">
        <v>6651</v>
      </c>
      <c r="C904" s="48" t="s">
        <v>6652</v>
      </c>
      <c r="D904" s="47" t="s">
        <v>1420</v>
      </c>
      <c r="E904" s="47" t="s">
        <v>1460</v>
      </c>
      <c r="F904" s="49">
        <v>45057.713234641204</v>
      </c>
      <c r="G904" s="47" t="s">
        <v>1466</v>
      </c>
      <c r="H904" s="47" t="s">
        <v>6653</v>
      </c>
      <c r="I904" s="50" t="s">
        <v>6652</v>
      </c>
      <c r="J904" s="50" t="s">
        <v>6654</v>
      </c>
      <c r="K904" s="50" t="s">
        <v>1654</v>
      </c>
      <c r="L904" s="50" t="s">
        <v>1504</v>
      </c>
      <c r="M904" s="50" t="s">
        <v>6655</v>
      </c>
      <c r="N904" s="50" t="s">
        <v>1476</v>
      </c>
      <c r="O904" s="47" t="s">
        <v>6656</v>
      </c>
      <c r="P904" s="47" t="s">
        <v>6657</v>
      </c>
      <c r="Q904" s="47" t="s">
        <v>1463</v>
      </c>
      <c r="R904" s="47" t="s">
        <v>1463</v>
      </c>
      <c r="S904" s="43"/>
      <c r="T904" s="49">
        <v>44960</v>
      </c>
    </row>
    <row r="905" spans="1:20" ht="26.45">
      <c r="A905" s="44" t="s">
        <v>368</v>
      </c>
      <c r="B905" s="44" t="s">
        <v>6658</v>
      </c>
      <c r="C905" s="45" t="s">
        <v>1096</v>
      </c>
      <c r="D905" s="44" t="s">
        <v>1431</v>
      </c>
      <c r="E905" s="44" t="s">
        <v>1481</v>
      </c>
      <c r="F905" s="44"/>
      <c r="G905" s="44" t="s">
        <v>1687</v>
      </c>
      <c r="H905" s="44" t="s">
        <v>6659</v>
      </c>
      <c r="I905" s="46" t="s">
        <v>6660</v>
      </c>
      <c r="J905" s="46" t="s">
        <v>6661</v>
      </c>
      <c r="K905" s="46" t="s">
        <v>5327</v>
      </c>
      <c r="L905" s="46" t="s">
        <v>2117</v>
      </c>
      <c r="M905" s="46" t="s">
        <v>6662</v>
      </c>
      <c r="N905" s="46" t="s">
        <v>1516</v>
      </c>
      <c r="O905" s="44" t="s">
        <v>6663</v>
      </c>
      <c r="P905" s="44" t="s">
        <v>6664</v>
      </c>
      <c r="Q905" s="44" t="s">
        <v>1695</v>
      </c>
      <c r="R905" s="44" t="s">
        <v>1463</v>
      </c>
      <c r="S905" s="43"/>
      <c r="T905" s="51">
        <v>45614</v>
      </c>
    </row>
    <row r="906" spans="1:20" ht="26.45">
      <c r="A906" s="47" t="s">
        <v>1097</v>
      </c>
      <c r="B906" s="47" t="s">
        <v>6665</v>
      </c>
      <c r="C906" s="48" t="s">
        <v>1098</v>
      </c>
      <c r="D906" s="47" t="s">
        <v>1419</v>
      </c>
      <c r="E906" s="47" t="s">
        <v>1481</v>
      </c>
      <c r="F906" s="47"/>
      <c r="G906" s="47" t="s">
        <v>1466</v>
      </c>
      <c r="H906" s="47" t="s">
        <v>6666</v>
      </c>
      <c r="I906" s="50" t="s">
        <v>6667</v>
      </c>
      <c r="J906" s="50" t="s">
        <v>6668</v>
      </c>
      <c r="K906" s="50" t="s">
        <v>1493</v>
      </c>
      <c r="L906" s="50" t="s">
        <v>1474</v>
      </c>
      <c r="M906" s="50" t="s">
        <v>6669</v>
      </c>
      <c r="N906" s="50" t="s">
        <v>1729</v>
      </c>
      <c r="O906" s="47" t="s">
        <v>6670</v>
      </c>
      <c r="P906" s="47" t="s">
        <v>6671</v>
      </c>
      <c r="Q906" s="47" t="s">
        <v>1463</v>
      </c>
      <c r="R906" s="47" t="s">
        <v>1463</v>
      </c>
      <c r="S906" s="43"/>
      <c r="T906" s="49">
        <v>45609</v>
      </c>
    </row>
    <row r="907" spans="1:20" ht="26.45">
      <c r="A907" s="44" t="s">
        <v>369</v>
      </c>
      <c r="B907" s="44" t="s">
        <v>6672</v>
      </c>
      <c r="C907" s="45" t="s">
        <v>1099</v>
      </c>
      <c r="D907" s="44" t="s">
        <v>1436</v>
      </c>
      <c r="E907" s="44" t="s">
        <v>1481</v>
      </c>
      <c r="F907" s="44"/>
      <c r="G907" s="44" t="s">
        <v>1687</v>
      </c>
      <c r="H907" s="44" t="s">
        <v>6673</v>
      </c>
      <c r="I907" s="46" t="s">
        <v>6674</v>
      </c>
      <c r="J907" s="46" t="s">
        <v>6675</v>
      </c>
      <c r="K907" s="46" t="s">
        <v>6676</v>
      </c>
      <c r="L907" s="46" t="s">
        <v>1504</v>
      </c>
      <c r="M907" s="46" t="s">
        <v>6677</v>
      </c>
      <c r="N907" s="46" t="s">
        <v>1629</v>
      </c>
      <c r="O907" s="44" t="s">
        <v>6678</v>
      </c>
      <c r="P907" s="44" t="s">
        <v>6679</v>
      </c>
      <c r="Q907" s="44" t="s">
        <v>1695</v>
      </c>
      <c r="R907" s="44" t="s">
        <v>1463</v>
      </c>
      <c r="S907" s="43"/>
      <c r="T907" s="51">
        <v>45664</v>
      </c>
    </row>
    <row r="908" spans="1:20" ht="26.45">
      <c r="A908" s="47" t="s">
        <v>370</v>
      </c>
      <c r="B908" s="47" t="s">
        <v>6680</v>
      </c>
      <c r="C908" s="48" t="s">
        <v>1100</v>
      </c>
      <c r="D908" s="47" t="s">
        <v>1436</v>
      </c>
      <c r="E908" s="47" t="s">
        <v>1481</v>
      </c>
      <c r="F908" s="47"/>
      <c r="G908" s="47" t="s">
        <v>1466</v>
      </c>
      <c r="H908" s="47" t="s">
        <v>6681</v>
      </c>
      <c r="I908" s="50" t="s">
        <v>6682</v>
      </c>
      <c r="J908" s="50" t="s">
        <v>6683</v>
      </c>
      <c r="K908" s="50" t="s">
        <v>6676</v>
      </c>
      <c r="L908" s="50" t="s">
        <v>1474</v>
      </c>
      <c r="M908" s="50" t="s">
        <v>6684</v>
      </c>
      <c r="N908" s="50" t="s">
        <v>1629</v>
      </c>
      <c r="O908" s="47" t="s">
        <v>6685</v>
      </c>
      <c r="P908" s="47" t="s">
        <v>6686</v>
      </c>
      <c r="Q908" s="47" t="s">
        <v>1463</v>
      </c>
      <c r="R908" s="47" t="s">
        <v>1463</v>
      </c>
      <c r="S908" s="43"/>
      <c r="T908" s="49">
        <v>45579</v>
      </c>
    </row>
    <row r="909" spans="1:20">
      <c r="A909" s="44" t="s">
        <v>6687</v>
      </c>
      <c r="B909" s="44"/>
      <c r="C909" s="45" t="s">
        <v>6688</v>
      </c>
      <c r="D909" s="44" t="s">
        <v>1436</v>
      </c>
      <c r="E909" s="44" t="s">
        <v>1460</v>
      </c>
      <c r="F909" s="51">
        <v>41457.382443402799</v>
      </c>
      <c r="G909" s="44" t="s">
        <v>1466</v>
      </c>
      <c r="H909" s="44"/>
      <c r="I909" s="46"/>
      <c r="J909" s="46"/>
      <c r="K909" s="46"/>
      <c r="L909" s="46"/>
      <c r="M909" s="46"/>
      <c r="N909" s="46"/>
      <c r="O909" s="44"/>
      <c r="P909" s="44"/>
      <c r="Q909" s="44" t="s">
        <v>1463</v>
      </c>
      <c r="R909" s="44" t="s">
        <v>1463</v>
      </c>
      <c r="S909" s="43"/>
      <c r="T909" s="44"/>
    </row>
    <row r="910" spans="1:20" ht="26.45">
      <c r="A910" s="47" t="s">
        <v>1101</v>
      </c>
      <c r="B910" s="47" t="s">
        <v>6689</v>
      </c>
      <c r="C910" s="48" t="s">
        <v>1102</v>
      </c>
      <c r="D910" s="47" t="s">
        <v>1436</v>
      </c>
      <c r="E910" s="47" t="s">
        <v>1481</v>
      </c>
      <c r="F910" s="47"/>
      <c r="G910" s="47" t="s">
        <v>1687</v>
      </c>
      <c r="H910" s="47" t="s">
        <v>6690</v>
      </c>
      <c r="I910" s="50" t="s">
        <v>1102</v>
      </c>
      <c r="J910" s="50" t="s">
        <v>6675</v>
      </c>
      <c r="K910" s="50" t="s">
        <v>6676</v>
      </c>
      <c r="L910" s="50" t="s">
        <v>1504</v>
      </c>
      <c r="M910" s="50" t="s">
        <v>6677</v>
      </c>
      <c r="N910" s="50" t="s">
        <v>1629</v>
      </c>
      <c r="O910" s="47" t="s">
        <v>6691</v>
      </c>
      <c r="P910" s="47" t="s">
        <v>6692</v>
      </c>
      <c r="Q910" s="47" t="s">
        <v>1695</v>
      </c>
      <c r="R910" s="47" t="s">
        <v>1463</v>
      </c>
      <c r="S910" s="43"/>
      <c r="T910" s="49">
        <v>45664</v>
      </c>
    </row>
    <row r="911" spans="1:20" ht="26.45">
      <c r="A911" s="44" t="s">
        <v>371</v>
      </c>
      <c r="B911" s="44" t="s">
        <v>6693</v>
      </c>
      <c r="C911" s="45" t="s">
        <v>1103</v>
      </c>
      <c r="D911" s="44" t="s">
        <v>1419</v>
      </c>
      <c r="E911" s="44" t="s">
        <v>1481</v>
      </c>
      <c r="F911" s="44"/>
      <c r="G911" s="44" t="s">
        <v>1466</v>
      </c>
      <c r="H911" s="44" t="s">
        <v>6694</v>
      </c>
      <c r="I911" s="46" t="s">
        <v>1103</v>
      </c>
      <c r="J911" s="46" t="s">
        <v>3503</v>
      </c>
      <c r="K911" s="46" t="s">
        <v>1493</v>
      </c>
      <c r="L911" s="46" t="s">
        <v>1474</v>
      </c>
      <c r="M911" s="46" t="s">
        <v>6695</v>
      </c>
      <c r="N911" s="46" t="s">
        <v>1729</v>
      </c>
      <c r="O911" s="44" t="s">
        <v>6696</v>
      </c>
      <c r="P911" s="44" t="s">
        <v>6697</v>
      </c>
      <c r="Q911" s="44" t="s">
        <v>1463</v>
      </c>
      <c r="R911" s="44" t="s">
        <v>1463</v>
      </c>
      <c r="S911" s="43"/>
      <c r="T911" s="51">
        <v>45448</v>
      </c>
    </row>
    <row r="912" spans="1:20" ht="26.45">
      <c r="A912" s="47" t="s">
        <v>1104</v>
      </c>
      <c r="B912" s="47" t="s">
        <v>6698</v>
      </c>
      <c r="C912" s="48" t="s">
        <v>1105</v>
      </c>
      <c r="D912" s="47" t="s">
        <v>1419</v>
      </c>
      <c r="E912" s="47" t="s">
        <v>1481</v>
      </c>
      <c r="F912" s="47"/>
      <c r="G912" s="47" t="s">
        <v>1466</v>
      </c>
      <c r="H912" s="47" t="s">
        <v>6699</v>
      </c>
      <c r="I912" s="50" t="s">
        <v>6700</v>
      </c>
      <c r="J912" s="50" t="s">
        <v>6701</v>
      </c>
      <c r="K912" s="50" t="s">
        <v>1493</v>
      </c>
      <c r="L912" s="50" t="s">
        <v>1474</v>
      </c>
      <c r="M912" s="50" t="s">
        <v>6702</v>
      </c>
      <c r="N912" s="50" t="s">
        <v>1629</v>
      </c>
      <c r="O912" s="47" t="s">
        <v>6703</v>
      </c>
      <c r="P912" s="47" t="s">
        <v>6704</v>
      </c>
      <c r="Q912" s="47" t="s">
        <v>1463</v>
      </c>
      <c r="R912" s="47" t="s">
        <v>1463</v>
      </c>
      <c r="S912" s="43"/>
      <c r="T912" s="49">
        <v>45699</v>
      </c>
    </row>
    <row r="913" spans="1:20">
      <c r="A913" s="44" t="s">
        <v>6705</v>
      </c>
      <c r="B913" s="44" t="s">
        <v>6706</v>
      </c>
      <c r="C913" s="45" t="s">
        <v>6707</v>
      </c>
      <c r="D913" s="44" t="s">
        <v>1419</v>
      </c>
      <c r="E913" s="44" t="s">
        <v>1460</v>
      </c>
      <c r="F913" s="51">
        <v>42766.802375844898</v>
      </c>
      <c r="G913" s="44" t="s">
        <v>1466</v>
      </c>
      <c r="H913" s="44" t="s">
        <v>6708</v>
      </c>
      <c r="I913" s="46" t="s">
        <v>6707</v>
      </c>
      <c r="J913" s="46" t="s">
        <v>6709</v>
      </c>
      <c r="K913" s="46" t="s">
        <v>6710</v>
      </c>
      <c r="L913" s="46" t="s">
        <v>1504</v>
      </c>
      <c r="M913" s="46" t="s">
        <v>6711</v>
      </c>
      <c r="N913" s="46" t="s">
        <v>1641</v>
      </c>
      <c r="O913" s="44" t="s">
        <v>6712</v>
      </c>
      <c r="P913" s="44"/>
      <c r="Q913" s="44" t="s">
        <v>1463</v>
      </c>
      <c r="R913" s="44" t="s">
        <v>1463</v>
      </c>
      <c r="S913" s="43"/>
      <c r="T913" s="51">
        <v>42475</v>
      </c>
    </row>
    <row r="914" spans="1:20" ht="26.45">
      <c r="A914" s="47" t="s">
        <v>6713</v>
      </c>
      <c r="B914" s="47" t="s">
        <v>6714</v>
      </c>
      <c r="C914" s="48" t="s">
        <v>6715</v>
      </c>
      <c r="D914" s="47" t="s">
        <v>1419</v>
      </c>
      <c r="E914" s="47" t="s">
        <v>1460</v>
      </c>
      <c r="F914" s="49">
        <v>42550.714967789398</v>
      </c>
      <c r="G914" s="47" t="s">
        <v>1466</v>
      </c>
      <c r="H914" s="47" t="s">
        <v>6716</v>
      </c>
      <c r="I914" s="50" t="s">
        <v>6715</v>
      </c>
      <c r="J914" s="50" t="s">
        <v>6717</v>
      </c>
      <c r="K914" s="50" t="s">
        <v>2911</v>
      </c>
      <c r="L914" s="50" t="s">
        <v>1504</v>
      </c>
      <c r="M914" s="50" t="s">
        <v>6718</v>
      </c>
      <c r="N914" s="50" t="s">
        <v>1744</v>
      </c>
      <c r="O914" s="47" t="s">
        <v>6719</v>
      </c>
      <c r="P914" s="47"/>
      <c r="Q914" s="47" t="s">
        <v>1463</v>
      </c>
      <c r="R914" s="47" t="s">
        <v>1463</v>
      </c>
      <c r="S914" s="43"/>
      <c r="T914" s="49">
        <v>42881</v>
      </c>
    </row>
    <row r="915" spans="1:20">
      <c r="A915" s="44" t="s">
        <v>1106</v>
      </c>
      <c r="B915" s="44" t="s">
        <v>6720</v>
      </c>
      <c r="C915" s="45" t="s">
        <v>1107</v>
      </c>
      <c r="D915" s="44" t="s">
        <v>1419</v>
      </c>
      <c r="E915" s="44" t="s">
        <v>1481</v>
      </c>
      <c r="F915" s="44"/>
      <c r="G915" s="44" t="s">
        <v>1466</v>
      </c>
      <c r="H915" s="44" t="s">
        <v>6721</v>
      </c>
      <c r="I915" s="46" t="s">
        <v>1107</v>
      </c>
      <c r="J915" s="46" t="s">
        <v>6722</v>
      </c>
      <c r="K915" s="46" t="s">
        <v>1503</v>
      </c>
      <c r="L915" s="46" t="s">
        <v>1474</v>
      </c>
      <c r="M915" s="46" t="s">
        <v>6723</v>
      </c>
      <c r="N915" s="46" t="s">
        <v>1476</v>
      </c>
      <c r="O915" s="44"/>
      <c r="P915" s="44"/>
      <c r="Q915" s="44" t="s">
        <v>1463</v>
      </c>
      <c r="R915" s="44" t="s">
        <v>1463</v>
      </c>
      <c r="S915" s="43"/>
      <c r="T915" s="51">
        <v>45392</v>
      </c>
    </row>
    <row r="916" spans="1:20">
      <c r="A916" s="47" t="s">
        <v>6724</v>
      </c>
      <c r="B916" s="47" t="s">
        <v>6725</v>
      </c>
      <c r="C916" s="48" t="s">
        <v>6726</v>
      </c>
      <c r="D916" s="47" t="s">
        <v>1434</v>
      </c>
      <c r="E916" s="47" t="s">
        <v>1481</v>
      </c>
      <c r="F916" s="47"/>
      <c r="G916" s="47" t="s">
        <v>1466</v>
      </c>
      <c r="H916" s="47" t="s">
        <v>6727</v>
      </c>
      <c r="I916" s="50" t="s">
        <v>6726</v>
      </c>
      <c r="J916" s="50" t="s">
        <v>6728</v>
      </c>
      <c r="K916" s="50" t="s">
        <v>6729</v>
      </c>
      <c r="L916" s="50" t="s">
        <v>1504</v>
      </c>
      <c r="M916" s="50" t="s">
        <v>6730</v>
      </c>
      <c r="N916" s="50" t="s">
        <v>1476</v>
      </c>
      <c r="O916" s="47" t="s">
        <v>6731</v>
      </c>
      <c r="P916" s="47"/>
      <c r="Q916" s="47" t="s">
        <v>1463</v>
      </c>
      <c r="R916" s="47" t="s">
        <v>1463</v>
      </c>
      <c r="S916" s="43"/>
      <c r="T916" s="49">
        <v>42682</v>
      </c>
    </row>
    <row r="917" spans="1:20" ht="26.45">
      <c r="A917" s="44" t="s">
        <v>372</v>
      </c>
      <c r="B917" s="44" t="s">
        <v>6732</v>
      </c>
      <c r="C917" s="45" t="s">
        <v>1108</v>
      </c>
      <c r="D917" s="44" t="s">
        <v>1434</v>
      </c>
      <c r="E917" s="44" t="s">
        <v>1481</v>
      </c>
      <c r="F917" s="44"/>
      <c r="G917" s="44" t="s">
        <v>1687</v>
      </c>
      <c r="H917" s="44" t="s">
        <v>6733</v>
      </c>
      <c r="I917" s="46" t="s">
        <v>6734</v>
      </c>
      <c r="J917" s="46" t="s">
        <v>6735</v>
      </c>
      <c r="K917" s="46" t="s">
        <v>6736</v>
      </c>
      <c r="L917" s="46" t="s">
        <v>1474</v>
      </c>
      <c r="M917" s="46" t="s">
        <v>6737</v>
      </c>
      <c r="N917" s="46" t="s">
        <v>1531</v>
      </c>
      <c r="O917" s="44" t="s">
        <v>6738</v>
      </c>
      <c r="P917" s="44" t="s">
        <v>6739</v>
      </c>
      <c r="Q917" s="44" t="s">
        <v>1463</v>
      </c>
      <c r="R917" s="44" t="s">
        <v>1463</v>
      </c>
      <c r="S917" s="43"/>
      <c r="T917" s="51">
        <v>45678</v>
      </c>
    </row>
    <row r="918" spans="1:20" ht="26.45">
      <c r="A918" s="47" t="s">
        <v>373</v>
      </c>
      <c r="B918" s="47" t="s">
        <v>6740</v>
      </c>
      <c r="C918" s="48" t="s">
        <v>1109</v>
      </c>
      <c r="D918" s="47" t="s">
        <v>1416</v>
      </c>
      <c r="E918" s="47" t="s">
        <v>1481</v>
      </c>
      <c r="F918" s="47"/>
      <c r="G918" s="47" t="s">
        <v>1687</v>
      </c>
      <c r="H918" s="47" t="s">
        <v>6741</v>
      </c>
      <c r="I918" s="50" t="s">
        <v>6742</v>
      </c>
      <c r="J918" s="50" t="s">
        <v>6743</v>
      </c>
      <c r="K918" s="50" t="s">
        <v>6744</v>
      </c>
      <c r="L918" s="50" t="s">
        <v>1504</v>
      </c>
      <c r="M918" s="50" t="s">
        <v>6745</v>
      </c>
      <c r="N918" s="50" t="s">
        <v>1531</v>
      </c>
      <c r="O918" s="47" t="s">
        <v>6746</v>
      </c>
      <c r="P918" s="47" t="s">
        <v>6747</v>
      </c>
      <c r="Q918" s="47" t="s">
        <v>1695</v>
      </c>
      <c r="R918" s="47" t="s">
        <v>1463</v>
      </c>
      <c r="S918" s="43"/>
      <c r="T918" s="49">
        <v>45667</v>
      </c>
    </row>
    <row r="919" spans="1:20" ht="26.45">
      <c r="A919" s="44" t="s">
        <v>6748</v>
      </c>
      <c r="B919" s="44" t="s">
        <v>6749</v>
      </c>
      <c r="C919" s="45" t="s">
        <v>6750</v>
      </c>
      <c r="D919" s="44" t="s">
        <v>1430</v>
      </c>
      <c r="E919" s="44" t="s">
        <v>1481</v>
      </c>
      <c r="F919" s="44"/>
      <c r="G919" s="44" t="s">
        <v>1466</v>
      </c>
      <c r="H919" s="44" t="s">
        <v>6751</v>
      </c>
      <c r="I919" s="46" t="s">
        <v>6752</v>
      </c>
      <c r="J919" s="46" t="s">
        <v>6753</v>
      </c>
      <c r="K919" s="46" t="s">
        <v>3337</v>
      </c>
      <c r="L919" s="46" t="s">
        <v>1474</v>
      </c>
      <c r="M919" s="46" t="s">
        <v>6754</v>
      </c>
      <c r="N919" s="46" t="s">
        <v>1641</v>
      </c>
      <c r="O919" s="44" t="s">
        <v>6755</v>
      </c>
      <c r="P919" s="44" t="s">
        <v>6756</v>
      </c>
      <c r="Q919" s="44" t="s">
        <v>1463</v>
      </c>
      <c r="R919" s="44" t="s">
        <v>1463</v>
      </c>
      <c r="S919" s="43"/>
      <c r="T919" s="51">
        <v>44966</v>
      </c>
    </row>
    <row r="920" spans="1:20" ht="26.45">
      <c r="A920" s="47" t="s">
        <v>374</v>
      </c>
      <c r="B920" s="47" t="s">
        <v>6757</v>
      </c>
      <c r="C920" s="48" t="s">
        <v>1110</v>
      </c>
      <c r="D920" s="47" t="s">
        <v>1428</v>
      </c>
      <c r="E920" s="47" t="s">
        <v>1481</v>
      </c>
      <c r="F920" s="47"/>
      <c r="G920" s="47" t="s">
        <v>1687</v>
      </c>
      <c r="H920" s="47" t="s">
        <v>6758</v>
      </c>
      <c r="I920" s="50" t="s">
        <v>6759</v>
      </c>
      <c r="J920" s="50" t="s">
        <v>6760</v>
      </c>
      <c r="K920" s="50" t="s">
        <v>2364</v>
      </c>
      <c r="L920" s="50" t="s">
        <v>1504</v>
      </c>
      <c r="M920" s="50" t="s">
        <v>6761</v>
      </c>
      <c r="N920" s="50" t="s">
        <v>1525</v>
      </c>
      <c r="O920" s="47" t="s">
        <v>6762</v>
      </c>
      <c r="P920" s="47" t="s">
        <v>6763</v>
      </c>
      <c r="Q920" s="47" t="s">
        <v>1695</v>
      </c>
      <c r="R920" s="47" t="s">
        <v>1463</v>
      </c>
      <c r="S920" s="43"/>
      <c r="T920" s="49">
        <v>45505</v>
      </c>
    </row>
    <row r="921" spans="1:20" ht="26.45">
      <c r="A921" s="44" t="s">
        <v>375</v>
      </c>
      <c r="B921" s="44" t="s">
        <v>6764</v>
      </c>
      <c r="C921" s="45" t="s">
        <v>1111</v>
      </c>
      <c r="D921" s="44" t="s">
        <v>1419</v>
      </c>
      <c r="E921" s="44" t="s">
        <v>1481</v>
      </c>
      <c r="F921" s="44"/>
      <c r="G921" s="44" t="s">
        <v>1687</v>
      </c>
      <c r="H921" s="44" t="s">
        <v>6765</v>
      </c>
      <c r="I921" s="46" t="s">
        <v>6766</v>
      </c>
      <c r="J921" s="46" t="s">
        <v>6767</v>
      </c>
      <c r="K921" s="46" t="s">
        <v>1493</v>
      </c>
      <c r="L921" s="46" t="s">
        <v>1474</v>
      </c>
      <c r="M921" s="46" t="s">
        <v>6768</v>
      </c>
      <c r="N921" s="46" t="s">
        <v>1629</v>
      </c>
      <c r="O921" s="44" t="s">
        <v>6769</v>
      </c>
      <c r="P921" s="44" t="s">
        <v>6770</v>
      </c>
      <c r="Q921" s="44" t="s">
        <v>1463</v>
      </c>
      <c r="R921" s="44" t="s">
        <v>1463</v>
      </c>
      <c r="S921" s="43"/>
      <c r="T921" s="51">
        <v>45547</v>
      </c>
    </row>
    <row r="922" spans="1:20" ht="26.45">
      <c r="A922" s="47" t="s">
        <v>1112</v>
      </c>
      <c r="B922" s="47" t="s">
        <v>6771</v>
      </c>
      <c r="C922" s="48" t="s">
        <v>1113</v>
      </c>
      <c r="D922" s="47" t="s">
        <v>1419</v>
      </c>
      <c r="E922" s="47" t="s">
        <v>1481</v>
      </c>
      <c r="F922" s="47"/>
      <c r="G922" s="47" t="s">
        <v>1466</v>
      </c>
      <c r="H922" s="47" t="s">
        <v>6772</v>
      </c>
      <c r="I922" s="50" t="s">
        <v>1113</v>
      </c>
      <c r="J922" s="50" t="s">
        <v>6773</v>
      </c>
      <c r="K922" s="50" t="s">
        <v>1493</v>
      </c>
      <c r="L922" s="50" t="s">
        <v>1504</v>
      </c>
      <c r="M922" s="50" t="s">
        <v>6774</v>
      </c>
      <c r="N922" s="50" t="s">
        <v>1629</v>
      </c>
      <c r="O922" s="47" t="s">
        <v>6775</v>
      </c>
      <c r="P922" s="47" t="s">
        <v>6776</v>
      </c>
      <c r="Q922" s="47" t="s">
        <v>1463</v>
      </c>
      <c r="R922" s="47" t="s">
        <v>1463</v>
      </c>
      <c r="S922" s="43"/>
      <c r="T922" s="49">
        <v>45468</v>
      </c>
    </row>
    <row r="923" spans="1:20" ht="26.45">
      <c r="A923" s="44" t="s">
        <v>376</v>
      </c>
      <c r="B923" s="44" t="s">
        <v>6777</v>
      </c>
      <c r="C923" s="45" t="s">
        <v>1114</v>
      </c>
      <c r="D923" s="44" t="s">
        <v>1419</v>
      </c>
      <c r="E923" s="44" t="s">
        <v>1481</v>
      </c>
      <c r="F923" s="44"/>
      <c r="G923" s="44" t="s">
        <v>1687</v>
      </c>
      <c r="H923" s="44" t="s">
        <v>6778</v>
      </c>
      <c r="I923" s="46" t="s">
        <v>6779</v>
      </c>
      <c r="J923" s="46" t="s">
        <v>6780</v>
      </c>
      <c r="K923" s="46" t="s">
        <v>1549</v>
      </c>
      <c r="L923" s="46" t="s">
        <v>1474</v>
      </c>
      <c r="M923" s="46" t="s">
        <v>6781</v>
      </c>
      <c r="N923" s="46" t="s">
        <v>1729</v>
      </c>
      <c r="O923" s="44" t="s">
        <v>6782</v>
      </c>
      <c r="P923" s="44" t="s">
        <v>6783</v>
      </c>
      <c r="Q923" s="44" t="s">
        <v>1463</v>
      </c>
      <c r="R923" s="44" t="s">
        <v>1463</v>
      </c>
      <c r="S923" s="43"/>
      <c r="T923" s="51">
        <v>45695</v>
      </c>
    </row>
    <row r="924" spans="1:20" ht="26.45">
      <c r="A924" s="47" t="s">
        <v>6784</v>
      </c>
      <c r="B924" s="47" t="s">
        <v>6785</v>
      </c>
      <c r="C924" s="48" t="s">
        <v>6786</v>
      </c>
      <c r="D924" s="47" t="s">
        <v>1434</v>
      </c>
      <c r="E924" s="47" t="s">
        <v>1481</v>
      </c>
      <c r="F924" s="47"/>
      <c r="G924" s="47" t="s">
        <v>3395</v>
      </c>
      <c r="H924" s="47" t="s">
        <v>6787</v>
      </c>
      <c r="I924" s="50" t="s">
        <v>6786</v>
      </c>
      <c r="J924" s="50" t="s">
        <v>6788</v>
      </c>
      <c r="K924" s="50" t="s">
        <v>6789</v>
      </c>
      <c r="L924" s="50" t="s">
        <v>1504</v>
      </c>
      <c r="M924" s="50" t="s">
        <v>6790</v>
      </c>
      <c r="N924" s="50"/>
      <c r="O924" s="47"/>
      <c r="P924" s="47"/>
      <c r="Q924" s="47" t="s">
        <v>1463</v>
      </c>
      <c r="R924" s="47" t="s">
        <v>1463</v>
      </c>
      <c r="S924" s="43"/>
      <c r="T924" s="47"/>
    </row>
    <row r="925" spans="1:20" ht="26.45">
      <c r="A925" s="44" t="s">
        <v>6791</v>
      </c>
      <c r="B925" s="44" t="s">
        <v>6792</v>
      </c>
      <c r="C925" s="45" t="s">
        <v>6793</v>
      </c>
      <c r="D925" s="44" t="s">
        <v>1419</v>
      </c>
      <c r="E925" s="44" t="s">
        <v>1481</v>
      </c>
      <c r="F925" s="44"/>
      <c r="G925" s="44" t="s">
        <v>1466</v>
      </c>
      <c r="H925" s="44" t="s">
        <v>6794</v>
      </c>
      <c r="I925" s="46" t="s">
        <v>6795</v>
      </c>
      <c r="J925" s="46" t="s">
        <v>6796</v>
      </c>
      <c r="K925" s="46" t="s">
        <v>1493</v>
      </c>
      <c r="L925" s="46" t="s">
        <v>1474</v>
      </c>
      <c r="M925" s="46" t="s">
        <v>6797</v>
      </c>
      <c r="N925" s="46" t="s">
        <v>1516</v>
      </c>
      <c r="O925" s="44" t="s">
        <v>6798</v>
      </c>
      <c r="P925" s="44" t="s">
        <v>6799</v>
      </c>
      <c r="Q925" s="44" t="s">
        <v>1463</v>
      </c>
      <c r="R925" s="44" t="s">
        <v>1463</v>
      </c>
      <c r="S925" s="43"/>
      <c r="T925" s="51">
        <v>45042</v>
      </c>
    </row>
    <row r="926" spans="1:20">
      <c r="A926" s="47" t="s">
        <v>6800</v>
      </c>
      <c r="B926" s="47"/>
      <c r="C926" s="48" t="s">
        <v>6801</v>
      </c>
      <c r="D926" s="47" t="s">
        <v>1419</v>
      </c>
      <c r="E926" s="47" t="s">
        <v>1460</v>
      </c>
      <c r="F926" s="49">
        <v>41457.3824425926</v>
      </c>
      <c r="G926" s="47" t="s">
        <v>1466</v>
      </c>
      <c r="H926" s="47"/>
      <c r="I926" s="50"/>
      <c r="J926" s="50"/>
      <c r="K926" s="50"/>
      <c r="L926" s="50"/>
      <c r="M926" s="50"/>
      <c r="N926" s="50"/>
      <c r="O926" s="47"/>
      <c r="P926" s="47"/>
      <c r="Q926" s="47" t="s">
        <v>1463</v>
      </c>
      <c r="R926" s="47" t="s">
        <v>1463</v>
      </c>
      <c r="S926" s="43"/>
      <c r="T926" s="47"/>
    </row>
    <row r="927" spans="1:20">
      <c r="A927" s="44" t="s">
        <v>6802</v>
      </c>
      <c r="B927" s="44"/>
      <c r="C927" s="45" t="s">
        <v>6803</v>
      </c>
      <c r="D927" s="44" t="s">
        <v>1419</v>
      </c>
      <c r="E927" s="44" t="s">
        <v>1460</v>
      </c>
      <c r="F927" s="51">
        <v>41457.382442476897</v>
      </c>
      <c r="G927" s="44" t="s">
        <v>1466</v>
      </c>
      <c r="H927" s="44"/>
      <c r="I927" s="46"/>
      <c r="J927" s="46"/>
      <c r="K927" s="46"/>
      <c r="L927" s="46"/>
      <c r="M927" s="46"/>
      <c r="N927" s="46"/>
      <c r="O927" s="44"/>
      <c r="P927" s="44"/>
      <c r="Q927" s="44" t="s">
        <v>1463</v>
      </c>
      <c r="R927" s="44" t="s">
        <v>1463</v>
      </c>
      <c r="S927" s="43"/>
      <c r="T927" s="44"/>
    </row>
    <row r="928" spans="1:20">
      <c r="A928" s="47" t="s">
        <v>6804</v>
      </c>
      <c r="B928" s="47"/>
      <c r="C928" s="48" t="s">
        <v>6805</v>
      </c>
      <c r="D928" s="47" t="s">
        <v>1419</v>
      </c>
      <c r="E928" s="47" t="s">
        <v>1460</v>
      </c>
      <c r="F928" s="49">
        <v>41457.382443055598</v>
      </c>
      <c r="G928" s="47" t="s">
        <v>1466</v>
      </c>
      <c r="H928" s="47" t="s">
        <v>6806</v>
      </c>
      <c r="I928" s="50"/>
      <c r="J928" s="50"/>
      <c r="K928" s="50"/>
      <c r="L928" s="50"/>
      <c r="M928" s="50"/>
      <c r="N928" s="50"/>
      <c r="O928" s="47"/>
      <c r="P928" s="47"/>
      <c r="Q928" s="47" t="s">
        <v>1463</v>
      </c>
      <c r="R928" s="47" t="s">
        <v>1463</v>
      </c>
      <c r="S928" s="43"/>
      <c r="T928" s="47"/>
    </row>
    <row r="929" spans="1:20" ht="26.45">
      <c r="A929" s="44" t="s">
        <v>1115</v>
      </c>
      <c r="B929" s="44" t="s">
        <v>6807</v>
      </c>
      <c r="C929" s="45" t="s">
        <v>1116</v>
      </c>
      <c r="D929" s="44" t="s">
        <v>1419</v>
      </c>
      <c r="E929" s="44" t="s">
        <v>1481</v>
      </c>
      <c r="F929" s="44"/>
      <c r="G929" s="44" t="s">
        <v>1466</v>
      </c>
      <c r="H929" s="44" t="s">
        <v>6808</v>
      </c>
      <c r="I929" s="46" t="s">
        <v>6809</v>
      </c>
      <c r="J929" s="46" t="s">
        <v>6810</v>
      </c>
      <c r="K929" s="46" t="s">
        <v>1493</v>
      </c>
      <c r="L929" s="46" t="s">
        <v>1504</v>
      </c>
      <c r="M929" s="46" t="s">
        <v>6811</v>
      </c>
      <c r="N929" s="46" t="s">
        <v>1495</v>
      </c>
      <c r="O929" s="44" t="s">
        <v>6812</v>
      </c>
      <c r="P929" s="44" t="s">
        <v>6813</v>
      </c>
      <c r="Q929" s="44" t="s">
        <v>1463</v>
      </c>
      <c r="R929" s="44" t="s">
        <v>1463</v>
      </c>
      <c r="S929" s="43"/>
      <c r="T929" s="51">
        <v>45502</v>
      </c>
    </row>
    <row r="930" spans="1:20" ht="26.45">
      <c r="A930" s="47" t="s">
        <v>377</v>
      </c>
      <c r="B930" s="47" t="s">
        <v>6814</v>
      </c>
      <c r="C930" s="48" t="s">
        <v>1117</v>
      </c>
      <c r="D930" s="47" t="s">
        <v>1419</v>
      </c>
      <c r="E930" s="47" t="s">
        <v>1481</v>
      </c>
      <c r="F930" s="47"/>
      <c r="G930" s="47" t="s">
        <v>1687</v>
      </c>
      <c r="H930" s="47" t="s">
        <v>6815</v>
      </c>
      <c r="I930" s="50" t="s">
        <v>6816</v>
      </c>
      <c r="J930" s="50" t="s">
        <v>6817</v>
      </c>
      <c r="K930" s="50" t="s">
        <v>1493</v>
      </c>
      <c r="L930" s="50" t="s">
        <v>2117</v>
      </c>
      <c r="M930" s="50" t="s">
        <v>6818</v>
      </c>
      <c r="N930" s="50" t="s">
        <v>1495</v>
      </c>
      <c r="O930" s="47" t="s">
        <v>6819</v>
      </c>
      <c r="P930" s="47" t="s">
        <v>6820</v>
      </c>
      <c r="Q930" s="47" t="s">
        <v>1463</v>
      </c>
      <c r="R930" s="47" t="s">
        <v>1463</v>
      </c>
      <c r="S930" s="43"/>
      <c r="T930" s="49">
        <v>45665</v>
      </c>
    </row>
    <row r="931" spans="1:20" ht="26.45">
      <c r="A931" s="44" t="s">
        <v>6821</v>
      </c>
      <c r="B931" s="44" t="s">
        <v>6822</v>
      </c>
      <c r="C931" s="45" t="s">
        <v>6823</v>
      </c>
      <c r="D931" s="44" t="s">
        <v>1419</v>
      </c>
      <c r="E931" s="44" t="s">
        <v>1460</v>
      </c>
      <c r="F931" s="51">
        <v>45029.909001701402</v>
      </c>
      <c r="G931" s="44" t="s">
        <v>1461</v>
      </c>
      <c r="H931" s="44" t="s">
        <v>6824</v>
      </c>
      <c r="I931" s="46" t="s">
        <v>6823</v>
      </c>
      <c r="J931" s="46" t="s">
        <v>6825</v>
      </c>
      <c r="K931" s="46" t="s">
        <v>1523</v>
      </c>
      <c r="L931" s="46" t="s">
        <v>1504</v>
      </c>
      <c r="M931" s="46" t="s">
        <v>6826</v>
      </c>
      <c r="N931" s="46" t="s">
        <v>1495</v>
      </c>
      <c r="O931" s="44" t="s">
        <v>6827</v>
      </c>
      <c r="P931" s="44"/>
      <c r="Q931" s="44" t="s">
        <v>1463</v>
      </c>
      <c r="R931" s="44" t="s">
        <v>1463</v>
      </c>
      <c r="S931" s="43"/>
      <c r="T931" s="51">
        <v>44859</v>
      </c>
    </row>
    <row r="932" spans="1:20" ht="26.45">
      <c r="A932" s="47" t="s">
        <v>378</v>
      </c>
      <c r="B932" s="47" t="s">
        <v>6828</v>
      </c>
      <c r="C932" s="48" t="s">
        <v>1118</v>
      </c>
      <c r="D932" s="47" t="s">
        <v>1419</v>
      </c>
      <c r="E932" s="47" t="s">
        <v>1481</v>
      </c>
      <c r="F932" s="47"/>
      <c r="G932" s="47" t="s">
        <v>1466</v>
      </c>
      <c r="H932" s="47" t="s">
        <v>6829</v>
      </c>
      <c r="I932" s="50" t="s">
        <v>1118</v>
      </c>
      <c r="J932" s="50" t="s">
        <v>6830</v>
      </c>
      <c r="K932" s="50" t="s">
        <v>1493</v>
      </c>
      <c r="L932" s="50" t="s">
        <v>1504</v>
      </c>
      <c r="M932" s="50" t="s">
        <v>6831</v>
      </c>
      <c r="N932" s="50" t="s">
        <v>1629</v>
      </c>
      <c r="O932" s="47" t="s">
        <v>6832</v>
      </c>
      <c r="P932" s="47" t="s">
        <v>6833</v>
      </c>
      <c r="Q932" s="47" t="s">
        <v>1463</v>
      </c>
      <c r="R932" s="47" t="s">
        <v>1463</v>
      </c>
      <c r="S932" s="43"/>
      <c r="T932" s="49">
        <v>45661</v>
      </c>
    </row>
    <row r="933" spans="1:20">
      <c r="A933" s="44" t="s">
        <v>6834</v>
      </c>
      <c r="B933" s="44" t="s">
        <v>6835</v>
      </c>
      <c r="C933" s="45" t="s">
        <v>6836</v>
      </c>
      <c r="D933" s="44" t="s">
        <v>1419</v>
      </c>
      <c r="E933" s="44" t="s">
        <v>1481</v>
      </c>
      <c r="F933" s="44"/>
      <c r="G933" s="44" t="s">
        <v>1663</v>
      </c>
      <c r="H933" s="44"/>
      <c r="I933" s="46" t="s">
        <v>6836</v>
      </c>
      <c r="J933" s="46"/>
      <c r="K933" s="46"/>
      <c r="L933" s="46"/>
      <c r="M933" s="46"/>
      <c r="N933" s="46"/>
      <c r="O933" s="44"/>
      <c r="P933" s="44"/>
      <c r="Q933" s="44" t="s">
        <v>1463</v>
      </c>
      <c r="R933" s="44" t="s">
        <v>1463</v>
      </c>
      <c r="S933" s="43"/>
      <c r="T933" s="44"/>
    </row>
    <row r="934" spans="1:20" ht="26.45">
      <c r="A934" s="47" t="s">
        <v>1119</v>
      </c>
      <c r="B934" s="47" t="s">
        <v>6837</v>
      </c>
      <c r="C934" s="48" t="s">
        <v>1120</v>
      </c>
      <c r="D934" s="47" t="s">
        <v>1419</v>
      </c>
      <c r="E934" s="47" t="s">
        <v>1481</v>
      </c>
      <c r="F934" s="47"/>
      <c r="G934" s="47" t="s">
        <v>1466</v>
      </c>
      <c r="H934" s="47" t="s">
        <v>6838</v>
      </c>
      <c r="I934" s="50" t="s">
        <v>6839</v>
      </c>
      <c r="J934" s="50" t="s">
        <v>6840</v>
      </c>
      <c r="K934" s="50" t="s">
        <v>1493</v>
      </c>
      <c r="L934" s="50" t="s">
        <v>1474</v>
      </c>
      <c r="M934" s="50" t="s">
        <v>6841</v>
      </c>
      <c r="N934" s="50" t="s">
        <v>1629</v>
      </c>
      <c r="O934" s="47" t="s">
        <v>6842</v>
      </c>
      <c r="P934" s="47" t="s">
        <v>6843</v>
      </c>
      <c r="Q934" s="47" t="s">
        <v>1463</v>
      </c>
      <c r="R934" s="47" t="s">
        <v>1463</v>
      </c>
      <c r="S934" s="43"/>
      <c r="T934" s="49">
        <v>45691</v>
      </c>
    </row>
    <row r="935" spans="1:20" ht="26.45">
      <c r="A935" s="44" t="s">
        <v>1121</v>
      </c>
      <c r="B935" s="44" t="s">
        <v>6844</v>
      </c>
      <c r="C935" s="45" t="s">
        <v>1122</v>
      </c>
      <c r="D935" s="44" t="s">
        <v>1419</v>
      </c>
      <c r="E935" s="44" t="s">
        <v>1481</v>
      </c>
      <c r="F935" s="44"/>
      <c r="G935" s="44" t="s">
        <v>1687</v>
      </c>
      <c r="H935" s="44" t="s">
        <v>6845</v>
      </c>
      <c r="I935" s="46" t="s">
        <v>6846</v>
      </c>
      <c r="J935" s="46" t="s">
        <v>6847</v>
      </c>
      <c r="K935" s="46" t="s">
        <v>1493</v>
      </c>
      <c r="L935" s="46" t="s">
        <v>1504</v>
      </c>
      <c r="M935" s="46" t="s">
        <v>6848</v>
      </c>
      <c r="N935" s="46" t="s">
        <v>1629</v>
      </c>
      <c r="O935" s="44" t="s">
        <v>6849</v>
      </c>
      <c r="P935" s="44" t="s">
        <v>6850</v>
      </c>
      <c r="Q935" s="44" t="s">
        <v>1463</v>
      </c>
      <c r="R935" s="44" t="s">
        <v>1463</v>
      </c>
      <c r="S935" s="43"/>
      <c r="T935" s="51">
        <v>45687</v>
      </c>
    </row>
    <row r="936" spans="1:20" ht="26.45">
      <c r="A936" s="47" t="s">
        <v>379</v>
      </c>
      <c r="B936" s="47" t="s">
        <v>6851</v>
      </c>
      <c r="C936" s="48" t="s">
        <v>1123</v>
      </c>
      <c r="D936" s="47" t="s">
        <v>1410</v>
      </c>
      <c r="E936" s="47" t="s">
        <v>1481</v>
      </c>
      <c r="F936" s="47"/>
      <c r="G936" s="47" t="s">
        <v>1687</v>
      </c>
      <c r="H936" s="47" t="s">
        <v>6852</v>
      </c>
      <c r="I936" s="50" t="s">
        <v>6853</v>
      </c>
      <c r="J936" s="50" t="s">
        <v>6854</v>
      </c>
      <c r="K936" s="50" t="s">
        <v>6855</v>
      </c>
      <c r="L936" s="50" t="s">
        <v>1504</v>
      </c>
      <c r="M936" s="50" t="s">
        <v>6856</v>
      </c>
      <c r="N936" s="50" t="s">
        <v>1525</v>
      </c>
      <c r="O936" s="47" t="s">
        <v>6857</v>
      </c>
      <c r="P936" s="47" t="s">
        <v>6858</v>
      </c>
      <c r="Q936" s="47" t="s">
        <v>1695</v>
      </c>
      <c r="R936" s="47" t="s">
        <v>1463</v>
      </c>
      <c r="S936" s="43"/>
      <c r="T936" s="49">
        <v>45357</v>
      </c>
    </row>
    <row r="937" spans="1:20" ht="26.45">
      <c r="A937" s="44" t="s">
        <v>1124</v>
      </c>
      <c r="B937" s="44" t="s">
        <v>6859</v>
      </c>
      <c r="C937" s="45" t="s">
        <v>1125</v>
      </c>
      <c r="D937" s="44" t="s">
        <v>1419</v>
      </c>
      <c r="E937" s="44" t="s">
        <v>1481</v>
      </c>
      <c r="F937" s="44"/>
      <c r="G937" s="44" t="s">
        <v>1466</v>
      </c>
      <c r="H937" s="44" t="s">
        <v>6860</v>
      </c>
      <c r="I937" s="46" t="s">
        <v>6861</v>
      </c>
      <c r="J937" s="46" t="s">
        <v>6862</v>
      </c>
      <c r="K937" s="46" t="s">
        <v>1523</v>
      </c>
      <c r="L937" s="46" t="s">
        <v>1474</v>
      </c>
      <c r="M937" s="46" t="s">
        <v>6863</v>
      </c>
      <c r="N937" s="46" t="s">
        <v>1641</v>
      </c>
      <c r="O937" s="44" t="s">
        <v>6864</v>
      </c>
      <c r="P937" s="44" t="s">
        <v>6865</v>
      </c>
      <c r="Q937" s="44" t="s">
        <v>1463</v>
      </c>
      <c r="R937" s="44" t="s">
        <v>1463</v>
      </c>
      <c r="S937" s="43"/>
      <c r="T937" s="51">
        <v>45666</v>
      </c>
    </row>
    <row r="938" spans="1:20" ht="26.45">
      <c r="A938" s="47" t="s">
        <v>6866</v>
      </c>
      <c r="B938" s="47" t="s">
        <v>6867</v>
      </c>
      <c r="C938" s="48" t="s">
        <v>6868</v>
      </c>
      <c r="D938" s="47" t="s">
        <v>1414</v>
      </c>
      <c r="E938" s="47" t="s">
        <v>1481</v>
      </c>
      <c r="F938" s="47"/>
      <c r="G938" s="47" t="s">
        <v>1663</v>
      </c>
      <c r="H938" s="47" t="s">
        <v>6869</v>
      </c>
      <c r="I938" s="50" t="s">
        <v>6870</v>
      </c>
      <c r="J938" s="50" t="s">
        <v>6871</v>
      </c>
      <c r="K938" s="50" t="s">
        <v>1484</v>
      </c>
      <c r="L938" s="50" t="s">
        <v>1504</v>
      </c>
      <c r="M938" s="50" t="s">
        <v>6872</v>
      </c>
      <c r="N938" s="50" t="s">
        <v>1629</v>
      </c>
      <c r="O938" s="47" t="s">
        <v>6873</v>
      </c>
      <c r="P938" s="47" t="s">
        <v>6874</v>
      </c>
      <c r="Q938" s="47" t="s">
        <v>1463</v>
      </c>
      <c r="R938" s="47" t="s">
        <v>1463</v>
      </c>
      <c r="S938" s="43"/>
      <c r="T938" s="49">
        <v>45364</v>
      </c>
    </row>
    <row r="939" spans="1:20" ht="26.45">
      <c r="A939" s="44" t="s">
        <v>1128</v>
      </c>
      <c r="B939" s="44" t="s">
        <v>6875</v>
      </c>
      <c r="C939" s="45" t="s">
        <v>1129</v>
      </c>
      <c r="D939" s="44" t="s">
        <v>1414</v>
      </c>
      <c r="E939" s="44" t="s">
        <v>1481</v>
      </c>
      <c r="F939" s="44"/>
      <c r="G939" s="44" t="s">
        <v>1466</v>
      </c>
      <c r="H939" s="44" t="s">
        <v>6876</v>
      </c>
      <c r="I939" s="46" t="s">
        <v>1129</v>
      </c>
      <c r="J939" s="46" t="s">
        <v>6877</v>
      </c>
      <c r="K939" s="46" t="s">
        <v>1484</v>
      </c>
      <c r="L939" s="46" t="s">
        <v>1474</v>
      </c>
      <c r="M939" s="46" t="s">
        <v>6878</v>
      </c>
      <c r="N939" s="46" t="s">
        <v>1495</v>
      </c>
      <c r="O939" s="44" t="s">
        <v>6879</v>
      </c>
      <c r="P939" s="44" t="s">
        <v>6880</v>
      </c>
      <c r="Q939" s="44" t="s">
        <v>1463</v>
      </c>
      <c r="R939" s="44" t="s">
        <v>1463</v>
      </c>
      <c r="S939" s="43"/>
      <c r="T939" s="51">
        <v>45562</v>
      </c>
    </row>
    <row r="940" spans="1:20" ht="26.45">
      <c r="A940" s="47" t="s">
        <v>1126</v>
      </c>
      <c r="B940" s="47" t="s">
        <v>6881</v>
      </c>
      <c r="C940" s="48" t="s">
        <v>1127</v>
      </c>
      <c r="D940" s="47" t="s">
        <v>1414</v>
      </c>
      <c r="E940" s="47" t="s">
        <v>1481</v>
      </c>
      <c r="F940" s="47"/>
      <c r="G940" s="47" t="s">
        <v>1687</v>
      </c>
      <c r="H940" s="47" t="s">
        <v>6882</v>
      </c>
      <c r="I940" s="50" t="s">
        <v>6883</v>
      </c>
      <c r="J940" s="50" t="s">
        <v>6454</v>
      </c>
      <c r="K940" s="50" t="s">
        <v>1484</v>
      </c>
      <c r="L940" s="50" t="s">
        <v>1474</v>
      </c>
      <c r="M940" s="50" t="s">
        <v>6455</v>
      </c>
      <c r="N940" s="50" t="s">
        <v>1629</v>
      </c>
      <c r="O940" s="47" t="s">
        <v>6884</v>
      </c>
      <c r="P940" s="47" t="s">
        <v>6885</v>
      </c>
      <c r="Q940" s="47" t="s">
        <v>1695</v>
      </c>
      <c r="R940" s="47" t="s">
        <v>1463</v>
      </c>
      <c r="S940" s="43"/>
      <c r="T940" s="49">
        <v>45442</v>
      </c>
    </row>
    <row r="941" spans="1:20" ht="26.45">
      <c r="A941" s="44" t="s">
        <v>6886</v>
      </c>
      <c r="B941" s="44" t="s">
        <v>6887</v>
      </c>
      <c r="C941" s="45" t="s">
        <v>6888</v>
      </c>
      <c r="D941" s="44" t="s">
        <v>1414</v>
      </c>
      <c r="E941" s="44" t="s">
        <v>1481</v>
      </c>
      <c r="F941" s="44"/>
      <c r="G941" s="44" t="s">
        <v>1663</v>
      </c>
      <c r="H941" s="44" t="s">
        <v>6889</v>
      </c>
      <c r="I941" s="46" t="s">
        <v>6890</v>
      </c>
      <c r="J941" s="46" t="s">
        <v>6891</v>
      </c>
      <c r="K941" s="46" t="s">
        <v>1484</v>
      </c>
      <c r="L941" s="46" t="s">
        <v>1504</v>
      </c>
      <c r="M941" s="46" t="s">
        <v>6455</v>
      </c>
      <c r="N941" s="46" t="s">
        <v>1629</v>
      </c>
      <c r="O941" s="44" t="s">
        <v>6892</v>
      </c>
      <c r="P941" s="44" t="s">
        <v>6893</v>
      </c>
      <c r="Q941" s="44" t="s">
        <v>1463</v>
      </c>
      <c r="R941" s="44" t="s">
        <v>1463</v>
      </c>
      <c r="S941" s="43"/>
      <c r="T941" s="51">
        <v>45257</v>
      </c>
    </row>
    <row r="942" spans="1:20" ht="26.45">
      <c r="A942" s="47" t="s">
        <v>6894</v>
      </c>
      <c r="B942" s="47" t="s">
        <v>6895</v>
      </c>
      <c r="C942" s="48" t="s">
        <v>6896</v>
      </c>
      <c r="D942" s="47" t="s">
        <v>1414</v>
      </c>
      <c r="E942" s="47" t="s">
        <v>1481</v>
      </c>
      <c r="F942" s="47"/>
      <c r="G942" s="47" t="s">
        <v>1687</v>
      </c>
      <c r="H942" s="47" t="s">
        <v>6897</v>
      </c>
      <c r="I942" s="50" t="s">
        <v>6898</v>
      </c>
      <c r="J942" s="50" t="s">
        <v>6899</v>
      </c>
      <c r="K942" s="50" t="s">
        <v>1484</v>
      </c>
      <c r="L942" s="50" t="s">
        <v>1504</v>
      </c>
      <c r="M942" s="50" t="s">
        <v>6900</v>
      </c>
      <c r="N942" s="50" t="s">
        <v>1525</v>
      </c>
      <c r="O942" s="47" t="s">
        <v>6901</v>
      </c>
      <c r="P942" s="47" t="s">
        <v>6902</v>
      </c>
      <c r="Q942" s="47" t="s">
        <v>1695</v>
      </c>
      <c r="R942" s="47" t="s">
        <v>1463</v>
      </c>
      <c r="S942" s="43"/>
      <c r="T942" s="49">
        <v>45677</v>
      </c>
    </row>
    <row r="943" spans="1:20" ht="26.45">
      <c r="A943" s="44" t="s">
        <v>6903</v>
      </c>
      <c r="B943" s="44" t="s">
        <v>6904</v>
      </c>
      <c r="C943" s="45" t="s">
        <v>6905</v>
      </c>
      <c r="D943" s="44" t="s">
        <v>1414</v>
      </c>
      <c r="E943" s="44" t="s">
        <v>1481</v>
      </c>
      <c r="F943" s="44"/>
      <c r="G943" s="44" t="s">
        <v>1663</v>
      </c>
      <c r="H943" s="44" t="s">
        <v>6906</v>
      </c>
      <c r="I943" s="46" t="s">
        <v>6907</v>
      </c>
      <c r="J943" s="46" t="s">
        <v>6908</v>
      </c>
      <c r="K943" s="46" t="s">
        <v>1484</v>
      </c>
      <c r="L943" s="46" t="s">
        <v>6909</v>
      </c>
      <c r="M943" s="46" t="s">
        <v>6910</v>
      </c>
      <c r="N943" s="46" t="s">
        <v>1629</v>
      </c>
      <c r="O943" s="44" t="s">
        <v>6911</v>
      </c>
      <c r="P943" s="44" t="s">
        <v>6912</v>
      </c>
      <c r="Q943" s="44" t="s">
        <v>1463</v>
      </c>
      <c r="R943" s="44" t="s">
        <v>1463</v>
      </c>
      <c r="S943" s="43"/>
      <c r="T943" s="51">
        <v>45315</v>
      </c>
    </row>
    <row r="944" spans="1:20" ht="26.45">
      <c r="A944" s="47" t="s">
        <v>1134</v>
      </c>
      <c r="B944" s="47" t="s">
        <v>6913</v>
      </c>
      <c r="C944" s="48" t="s">
        <v>1135</v>
      </c>
      <c r="D944" s="47" t="s">
        <v>1414</v>
      </c>
      <c r="E944" s="47" t="s">
        <v>1481</v>
      </c>
      <c r="F944" s="47"/>
      <c r="G944" s="47" t="s">
        <v>1466</v>
      </c>
      <c r="H944" s="47" t="s">
        <v>6914</v>
      </c>
      <c r="I944" s="50" t="s">
        <v>6915</v>
      </c>
      <c r="J944" s="50" t="s">
        <v>6916</v>
      </c>
      <c r="K944" s="50" t="s">
        <v>1484</v>
      </c>
      <c r="L944" s="50" t="s">
        <v>1474</v>
      </c>
      <c r="M944" s="50" t="s">
        <v>6917</v>
      </c>
      <c r="N944" s="50" t="s">
        <v>1629</v>
      </c>
      <c r="O944" s="47" t="s">
        <v>6918</v>
      </c>
      <c r="P944" s="47" t="s">
        <v>6919</v>
      </c>
      <c r="Q944" s="47" t="s">
        <v>1463</v>
      </c>
      <c r="R944" s="47" t="s">
        <v>1463</v>
      </c>
      <c r="S944" s="43"/>
      <c r="T944" s="49">
        <v>45574</v>
      </c>
    </row>
    <row r="945" spans="1:20" ht="26.45">
      <c r="A945" s="44" t="s">
        <v>6920</v>
      </c>
      <c r="B945" s="44"/>
      <c r="C945" s="45" t="s">
        <v>6921</v>
      </c>
      <c r="D945" s="44" t="s">
        <v>1414</v>
      </c>
      <c r="E945" s="44" t="s">
        <v>1460</v>
      </c>
      <c r="F945" s="51">
        <v>42444.865869826397</v>
      </c>
      <c r="G945" s="44" t="s">
        <v>1585</v>
      </c>
      <c r="H945" s="44"/>
      <c r="I945" s="46"/>
      <c r="J945" s="46"/>
      <c r="K945" s="46"/>
      <c r="L945" s="46"/>
      <c r="M945" s="46"/>
      <c r="N945" s="46"/>
      <c r="O945" s="44"/>
      <c r="P945" s="44"/>
      <c r="Q945" s="44" t="s">
        <v>1463</v>
      </c>
      <c r="R945" s="44" t="s">
        <v>1463</v>
      </c>
      <c r="S945" s="43"/>
      <c r="T945" s="44"/>
    </row>
    <row r="946" spans="1:20" ht="26.45">
      <c r="A946" s="47" t="s">
        <v>6922</v>
      </c>
      <c r="B946" s="47" t="s">
        <v>6923</v>
      </c>
      <c r="C946" s="48" t="s">
        <v>6924</v>
      </c>
      <c r="D946" s="47" t="s">
        <v>1414</v>
      </c>
      <c r="E946" s="47" t="s">
        <v>1460</v>
      </c>
      <c r="F946" s="49">
        <v>42440.941693287001</v>
      </c>
      <c r="G946" s="47" t="s">
        <v>1585</v>
      </c>
      <c r="H946" s="47"/>
      <c r="I946" s="50"/>
      <c r="J946" s="50"/>
      <c r="K946" s="50"/>
      <c r="L946" s="50"/>
      <c r="M946" s="50"/>
      <c r="N946" s="50"/>
      <c r="O946" s="47"/>
      <c r="P946" s="47"/>
      <c r="Q946" s="47" t="s">
        <v>1463</v>
      </c>
      <c r="R946" s="47" t="s">
        <v>1463</v>
      </c>
      <c r="S946" s="43"/>
      <c r="T946" s="47"/>
    </row>
    <row r="947" spans="1:20" ht="26.45">
      <c r="A947" s="44" t="s">
        <v>1130</v>
      </c>
      <c r="B947" s="44" t="s">
        <v>6925</v>
      </c>
      <c r="C947" s="45" t="s">
        <v>1131</v>
      </c>
      <c r="D947" s="44" t="s">
        <v>1414</v>
      </c>
      <c r="E947" s="44" t="s">
        <v>1481</v>
      </c>
      <c r="F947" s="44"/>
      <c r="G947" s="44" t="s">
        <v>1466</v>
      </c>
      <c r="H947" s="44" t="s">
        <v>6926</v>
      </c>
      <c r="I947" s="46" t="s">
        <v>6915</v>
      </c>
      <c r="J947" s="46" t="s">
        <v>6916</v>
      </c>
      <c r="K947" s="46" t="s">
        <v>1484</v>
      </c>
      <c r="L947" s="46" t="s">
        <v>1474</v>
      </c>
      <c r="M947" s="46" t="s">
        <v>6917</v>
      </c>
      <c r="N947" s="46" t="s">
        <v>1629</v>
      </c>
      <c r="O947" s="44" t="s">
        <v>6918</v>
      </c>
      <c r="P947" s="44" t="s">
        <v>6919</v>
      </c>
      <c r="Q947" s="44" t="s">
        <v>1463</v>
      </c>
      <c r="R947" s="44" t="s">
        <v>1463</v>
      </c>
      <c r="S947" s="43"/>
      <c r="T947" s="51">
        <v>45574</v>
      </c>
    </row>
    <row r="948" spans="1:20" ht="26.45">
      <c r="A948" s="47" t="s">
        <v>1132</v>
      </c>
      <c r="B948" s="47" t="s">
        <v>6927</v>
      </c>
      <c r="C948" s="48" t="s">
        <v>1133</v>
      </c>
      <c r="D948" s="47" t="s">
        <v>1414</v>
      </c>
      <c r="E948" s="47" t="s">
        <v>1481</v>
      </c>
      <c r="F948" s="47"/>
      <c r="G948" s="47" t="s">
        <v>1466</v>
      </c>
      <c r="H948" s="47" t="s">
        <v>6928</v>
      </c>
      <c r="I948" s="50" t="s">
        <v>6915</v>
      </c>
      <c r="J948" s="50" t="s">
        <v>6916</v>
      </c>
      <c r="K948" s="50" t="s">
        <v>1484</v>
      </c>
      <c r="L948" s="50" t="s">
        <v>1474</v>
      </c>
      <c r="M948" s="50" t="s">
        <v>6917</v>
      </c>
      <c r="N948" s="50" t="s">
        <v>1629</v>
      </c>
      <c r="O948" s="47" t="s">
        <v>6918</v>
      </c>
      <c r="P948" s="47" t="s">
        <v>6919</v>
      </c>
      <c r="Q948" s="47" t="s">
        <v>1463</v>
      </c>
      <c r="R948" s="47" t="s">
        <v>1463</v>
      </c>
      <c r="S948" s="43"/>
      <c r="T948" s="49">
        <v>45574</v>
      </c>
    </row>
    <row r="949" spans="1:20" ht="26.45">
      <c r="A949" s="44" t="s">
        <v>6929</v>
      </c>
      <c r="B949" s="44" t="s">
        <v>6930</v>
      </c>
      <c r="C949" s="45" t="s">
        <v>6931</v>
      </c>
      <c r="D949" s="44" t="s">
        <v>1414</v>
      </c>
      <c r="E949" s="44" t="s">
        <v>1481</v>
      </c>
      <c r="F949" s="44"/>
      <c r="G949" s="44" t="s">
        <v>1466</v>
      </c>
      <c r="H949" s="44" t="s">
        <v>6932</v>
      </c>
      <c r="I949" s="46" t="s">
        <v>6933</v>
      </c>
      <c r="J949" s="46" t="s">
        <v>2905</v>
      </c>
      <c r="K949" s="46" t="s">
        <v>1484</v>
      </c>
      <c r="L949" s="46" t="s">
        <v>1504</v>
      </c>
      <c r="M949" s="46" t="s">
        <v>2906</v>
      </c>
      <c r="N949" s="46" t="s">
        <v>1641</v>
      </c>
      <c r="O949" s="44" t="s">
        <v>2262</v>
      </c>
      <c r="P949" s="44"/>
      <c r="Q949" s="44" t="s">
        <v>1463</v>
      </c>
      <c r="R949" s="44" t="s">
        <v>1463</v>
      </c>
      <c r="S949" s="43"/>
      <c r="T949" s="51">
        <v>45308</v>
      </c>
    </row>
    <row r="950" spans="1:20" ht="26.45">
      <c r="A950" s="47" t="s">
        <v>6934</v>
      </c>
      <c r="B950" s="47" t="s">
        <v>6935</v>
      </c>
      <c r="C950" s="48" t="s">
        <v>6936</v>
      </c>
      <c r="D950" s="47" t="s">
        <v>1414</v>
      </c>
      <c r="E950" s="47" t="s">
        <v>1481</v>
      </c>
      <c r="F950" s="47"/>
      <c r="G950" s="47" t="s">
        <v>1663</v>
      </c>
      <c r="H950" s="47" t="s">
        <v>6937</v>
      </c>
      <c r="I950" s="50" t="s">
        <v>6938</v>
      </c>
      <c r="J950" s="50" t="s">
        <v>6939</v>
      </c>
      <c r="K950" s="50" t="s">
        <v>6940</v>
      </c>
      <c r="L950" s="50" t="s">
        <v>1474</v>
      </c>
      <c r="M950" s="50" t="s">
        <v>6455</v>
      </c>
      <c r="N950" s="50" t="s">
        <v>1629</v>
      </c>
      <c r="O950" s="47" t="s">
        <v>6456</v>
      </c>
      <c r="P950" s="47" t="s">
        <v>6941</v>
      </c>
      <c r="Q950" s="47" t="s">
        <v>1463</v>
      </c>
      <c r="R950" s="47" t="s">
        <v>1463</v>
      </c>
      <c r="S950" s="43"/>
      <c r="T950" s="49">
        <v>45524</v>
      </c>
    </row>
    <row r="951" spans="1:20" ht="26.45">
      <c r="A951" s="44" t="s">
        <v>380</v>
      </c>
      <c r="B951" s="44" t="s">
        <v>6942</v>
      </c>
      <c r="C951" s="45" t="s">
        <v>1136</v>
      </c>
      <c r="D951" s="44" t="s">
        <v>1433</v>
      </c>
      <c r="E951" s="44" t="s">
        <v>1481</v>
      </c>
      <c r="F951" s="44"/>
      <c r="G951" s="44" t="s">
        <v>1687</v>
      </c>
      <c r="H951" s="44" t="s">
        <v>6943</v>
      </c>
      <c r="I951" s="46" t="s">
        <v>6944</v>
      </c>
      <c r="J951" s="46" t="s">
        <v>6945</v>
      </c>
      <c r="K951" s="46" t="s">
        <v>1414</v>
      </c>
      <c r="L951" s="46" t="s">
        <v>1504</v>
      </c>
      <c r="M951" s="46" t="s">
        <v>6946</v>
      </c>
      <c r="N951" s="46" t="s">
        <v>1641</v>
      </c>
      <c r="O951" s="44" t="s">
        <v>6947</v>
      </c>
      <c r="P951" s="44" t="s">
        <v>6948</v>
      </c>
      <c r="Q951" s="44" t="s">
        <v>1695</v>
      </c>
      <c r="R951" s="44" t="s">
        <v>1463</v>
      </c>
      <c r="S951" s="43"/>
      <c r="T951" s="51">
        <v>45321</v>
      </c>
    </row>
    <row r="952" spans="1:20">
      <c r="A952" s="47" t="s">
        <v>6949</v>
      </c>
      <c r="B952" s="47" t="s">
        <v>6950</v>
      </c>
      <c r="C952" s="48" t="s">
        <v>6951</v>
      </c>
      <c r="D952" s="47" t="s">
        <v>1410</v>
      </c>
      <c r="E952" s="47" t="s">
        <v>1481</v>
      </c>
      <c r="F952" s="47"/>
      <c r="G952" s="47" t="s">
        <v>1663</v>
      </c>
      <c r="H952" s="47"/>
      <c r="I952" s="50"/>
      <c r="J952" s="50"/>
      <c r="K952" s="50"/>
      <c r="L952" s="50"/>
      <c r="M952" s="50"/>
      <c r="N952" s="50"/>
      <c r="O952" s="47"/>
      <c r="P952" s="47"/>
      <c r="Q952" s="47" t="s">
        <v>1695</v>
      </c>
      <c r="R952" s="47" t="s">
        <v>1463</v>
      </c>
      <c r="S952" s="43"/>
      <c r="T952" s="47"/>
    </row>
    <row r="953" spans="1:20" ht="26.45">
      <c r="A953" s="44" t="s">
        <v>6952</v>
      </c>
      <c r="B953" s="44" t="s">
        <v>6953</v>
      </c>
      <c r="C953" s="45" t="s">
        <v>6954</v>
      </c>
      <c r="D953" s="44" t="s">
        <v>1410</v>
      </c>
      <c r="E953" s="44" t="s">
        <v>1481</v>
      </c>
      <c r="F953" s="44"/>
      <c r="G953" s="44" t="s">
        <v>1663</v>
      </c>
      <c r="H953" s="44" t="s">
        <v>6955</v>
      </c>
      <c r="I953" s="46" t="s">
        <v>6956</v>
      </c>
      <c r="J953" s="46" t="s">
        <v>6957</v>
      </c>
      <c r="K953" s="46" t="s">
        <v>4200</v>
      </c>
      <c r="L953" s="46" t="s">
        <v>1504</v>
      </c>
      <c r="M953" s="46" t="s">
        <v>6958</v>
      </c>
      <c r="N953" s="46" t="s">
        <v>1531</v>
      </c>
      <c r="O953" s="44" t="s">
        <v>6959</v>
      </c>
      <c r="P953" s="44" t="s">
        <v>6960</v>
      </c>
      <c r="Q953" s="44" t="s">
        <v>1695</v>
      </c>
      <c r="R953" s="44" t="s">
        <v>1463</v>
      </c>
      <c r="S953" s="43"/>
      <c r="T953" s="51">
        <v>45643</v>
      </c>
    </row>
    <row r="954" spans="1:20" ht="26.45">
      <c r="A954" s="47" t="s">
        <v>6961</v>
      </c>
      <c r="B954" s="47" t="s">
        <v>6962</v>
      </c>
      <c r="C954" s="48" t="s">
        <v>6963</v>
      </c>
      <c r="D954" s="47" t="s">
        <v>1410</v>
      </c>
      <c r="E954" s="47" t="s">
        <v>1481</v>
      </c>
      <c r="F954" s="47"/>
      <c r="G954" s="47" t="s">
        <v>1687</v>
      </c>
      <c r="H954" s="47" t="s">
        <v>6964</v>
      </c>
      <c r="I954" s="50" t="s">
        <v>6965</v>
      </c>
      <c r="J954" s="50" t="s">
        <v>6957</v>
      </c>
      <c r="K954" s="50" t="s">
        <v>4200</v>
      </c>
      <c r="L954" s="50" t="s">
        <v>1504</v>
      </c>
      <c r="M954" s="50" t="s">
        <v>6958</v>
      </c>
      <c r="N954" s="50" t="s">
        <v>1531</v>
      </c>
      <c r="O954" s="47" t="s">
        <v>6959</v>
      </c>
      <c r="P954" s="47" t="s">
        <v>6960</v>
      </c>
      <c r="Q954" s="47" t="s">
        <v>1695</v>
      </c>
      <c r="R954" s="47" t="s">
        <v>1463</v>
      </c>
      <c r="S954" s="43"/>
      <c r="T954" s="49">
        <v>45643</v>
      </c>
    </row>
    <row r="955" spans="1:20">
      <c r="A955" s="44" t="s">
        <v>1137</v>
      </c>
      <c r="B955" s="44" t="s">
        <v>6966</v>
      </c>
      <c r="C955" s="45" t="s">
        <v>1138</v>
      </c>
      <c r="D955" s="44" t="s">
        <v>1410</v>
      </c>
      <c r="E955" s="44" t="s">
        <v>1481</v>
      </c>
      <c r="F955" s="44"/>
      <c r="G955" s="44" t="s">
        <v>1687</v>
      </c>
      <c r="H955" s="44"/>
      <c r="I955" s="46"/>
      <c r="J955" s="46"/>
      <c r="K955" s="46"/>
      <c r="L955" s="46"/>
      <c r="M955" s="46"/>
      <c r="N955" s="46"/>
      <c r="O955" s="44"/>
      <c r="P955" s="44"/>
      <c r="Q955" s="44" t="s">
        <v>1463</v>
      </c>
      <c r="R955" s="44" t="s">
        <v>1463</v>
      </c>
      <c r="S955" s="43"/>
      <c r="T955" s="44"/>
    </row>
    <row r="956" spans="1:20">
      <c r="A956" s="47" t="s">
        <v>6967</v>
      </c>
      <c r="B956" s="47"/>
      <c r="C956" s="48" t="s">
        <v>6968</v>
      </c>
      <c r="D956" s="47" t="s">
        <v>1410</v>
      </c>
      <c r="E956" s="47" t="s">
        <v>1460</v>
      </c>
      <c r="F956" s="49">
        <v>42291.707147766203</v>
      </c>
      <c r="G956" s="47" t="s">
        <v>1687</v>
      </c>
      <c r="H956" s="47"/>
      <c r="I956" s="50"/>
      <c r="J956" s="50"/>
      <c r="K956" s="50"/>
      <c r="L956" s="50"/>
      <c r="M956" s="50"/>
      <c r="N956" s="50"/>
      <c r="O956" s="47"/>
      <c r="P956" s="47"/>
      <c r="Q956" s="47" t="s">
        <v>1695</v>
      </c>
      <c r="R956" s="47" t="s">
        <v>1463</v>
      </c>
      <c r="S956" s="43"/>
      <c r="T956" s="47"/>
    </row>
    <row r="957" spans="1:20" ht="26.45">
      <c r="A957" s="44" t="s">
        <v>381</v>
      </c>
      <c r="B957" s="44" t="s">
        <v>6969</v>
      </c>
      <c r="C957" s="45" t="s">
        <v>1139</v>
      </c>
      <c r="D957" s="44" t="s">
        <v>1430</v>
      </c>
      <c r="E957" s="44" t="s">
        <v>1481</v>
      </c>
      <c r="F957" s="44"/>
      <c r="G957" s="44" t="s">
        <v>1466</v>
      </c>
      <c r="H957" s="44" t="s">
        <v>6970</v>
      </c>
      <c r="I957" s="46" t="s">
        <v>6971</v>
      </c>
      <c r="J957" s="46" t="s">
        <v>6972</v>
      </c>
      <c r="K957" s="46" t="s">
        <v>3337</v>
      </c>
      <c r="L957" s="46" t="s">
        <v>1474</v>
      </c>
      <c r="M957" s="46" t="s">
        <v>6973</v>
      </c>
      <c r="N957" s="46" t="s">
        <v>1641</v>
      </c>
      <c r="O957" s="44" t="s">
        <v>6974</v>
      </c>
      <c r="P957" s="44" t="s">
        <v>6975</v>
      </c>
      <c r="Q957" s="44" t="s">
        <v>1463</v>
      </c>
      <c r="R957" s="44" t="s">
        <v>1463</v>
      </c>
      <c r="S957" s="43"/>
      <c r="T957" s="51">
        <v>45293</v>
      </c>
    </row>
    <row r="958" spans="1:20" ht="26.45">
      <c r="A958" s="47" t="s">
        <v>382</v>
      </c>
      <c r="B958" s="47" t="s">
        <v>6976</v>
      </c>
      <c r="C958" s="48" t="s">
        <v>1140</v>
      </c>
      <c r="D958" s="47" t="s">
        <v>1434</v>
      </c>
      <c r="E958" s="47" t="s">
        <v>1481</v>
      </c>
      <c r="F958" s="47"/>
      <c r="G958" s="47" t="s">
        <v>1687</v>
      </c>
      <c r="H958" s="47" t="s">
        <v>6977</v>
      </c>
      <c r="I958" s="50" t="s">
        <v>6978</v>
      </c>
      <c r="J958" s="50" t="s">
        <v>6979</v>
      </c>
      <c r="K958" s="50" t="s">
        <v>6980</v>
      </c>
      <c r="L958" s="50" t="s">
        <v>1474</v>
      </c>
      <c r="M958" s="50" t="s">
        <v>6981</v>
      </c>
      <c r="N958" s="50" t="s">
        <v>1476</v>
      </c>
      <c r="O958" s="47" t="s">
        <v>6982</v>
      </c>
      <c r="P958" s="47" t="s">
        <v>6983</v>
      </c>
      <c r="Q958" s="47" t="s">
        <v>1695</v>
      </c>
      <c r="R958" s="47" t="s">
        <v>1463</v>
      </c>
      <c r="S958" s="43"/>
      <c r="T958" s="49">
        <v>45296</v>
      </c>
    </row>
    <row r="959" spans="1:20" ht="26.45">
      <c r="A959" s="44" t="s">
        <v>6984</v>
      </c>
      <c r="B959" s="44" t="s">
        <v>6985</v>
      </c>
      <c r="C959" s="45" t="s">
        <v>6986</v>
      </c>
      <c r="D959" s="44" t="s">
        <v>1410</v>
      </c>
      <c r="E959" s="44" t="s">
        <v>1481</v>
      </c>
      <c r="F959" s="44"/>
      <c r="G959" s="44" t="s">
        <v>1466</v>
      </c>
      <c r="H959" s="44" t="s">
        <v>6987</v>
      </c>
      <c r="I959" s="46" t="s">
        <v>6986</v>
      </c>
      <c r="J959" s="46" t="s">
        <v>6988</v>
      </c>
      <c r="K959" s="46" t="s">
        <v>1541</v>
      </c>
      <c r="L959" s="46" t="s">
        <v>1504</v>
      </c>
      <c r="M959" s="46" t="s">
        <v>6989</v>
      </c>
      <c r="N959" s="46" t="s">
        <v>1516</v>
      </c>
      <c r="O959" s="44" t="s">
        <v>2262</v>
      </c>
      <c r="P959" s="44"/>
      <c r="Q959" s="44" t="s">
        <v>1463</v>
      </c>
      <c r="R959" s="44" t="s">
        <v>1463</v>
      </c>
      <c r="S959" s="43"/>
      <c r="T959" s="44"/>
    </row>
    <row r="960" spans="1:20">
      <c r="A960" s="47" t="s">
        <v>6990</v>
      </c>
      <c r="B960" s="47"/>
      <c r="C960" s="48" t="s">
        <v>6991</v>
      </c>
      <c r="D960" s="47" t="s">
        <v>1419</v>
      </c>
      <c r="E960" s="47" t="s">
        <v>1460</v>
      </c>
      <c r="F960" s="49">
        <v>41457.3824423611</v>
      </c>
      <c r="G960" s="47" t="s">
        <v>1466</v>
      </c>
      <c r="H960" s="47"/>
      <c r="I960" s="50"/>
      <c r="J960" s="50"/>
      <c r="K960" s="50"/>
      <c r="L960" s="50"/>
      <c r="M960" s="50"/>
      <c r="N960" s="50"/>
      <c r="O960" s="47"/>
      <c r="P960" s="47"/>
      <c r="Q960" s="47" t="s">
        <v>1463</v>
      </c>
      <c r="R960" s="47" t="s">
        <v>1463</v>
      </c>
      <c r="S960" s="43"/>
      <c r="T960" s="47"/>
    </row>
    <row r="961" spans="1:20">
      <c r="A961" s="44" t="s">
        <v>6992</v>
      </c>
      <c r="B961" s="44"/>
      <c r="C961" s="45" t="s">
        <v>6993</v>
      </c>
      <c r="D961" s="44" t="s">
        <v>1419</v>
      </c>
      <c r="E961" s="44" t="s">
        <v>1460</v>
      </c>
      <c r="F961" s="51">
        <v>41457.382442094902</v>
      </c>
      <c r="G961" s="44" t="s">
        <v>1466</v>
      </c>
      <c r="H961" s="44"/>
      <c r="I961" s="46"/>
      <c r="J961" s="46"/>
      <c r="K961" s="46"/>
      <c r="L961" s="46"/>
      <c r="M961" s="46"/>
      <c r="N961" s="46"/>
      <c r="O961" s="44"/>
      <c r="P961" s="44"/>
      <c r="Q961" s="44" t="s">
        <v>1463</v>
      </c>
      <c r="R961" s="44" t="s">
        <v>1463</v>
      </c>
      <c r="S961" s="43"/>
      <c r="T961" s="44"/>
    </row>
    <row r="962" spans="1:20" ht="26.45">
      <c r="A962" s="47" t="s">
        <v>6994</v>
      </c>
      <c r="B962" s="47" t="s">
        <v>6995</v>
      </c>
      <c r="C962" s="48" t="s">
        <v>6996</v>
      </c>
      <c r="D962" s="47" t="s">
        <v>1436</v>
      </c>
      <c r="E962" s="47" t="s">
        <v>1481</v>
      </c>
      <c r="F962" s="47"/>
      <c r="G962" s="47" t="s">
        <v>1466</v>
      </c>
      <c r="H962" s="47" t="s">
        <v>6997</v>
      </c>
      <c r="I962" s="50" t="s">
        <v>6996</v>
      </c>
      <c r="J962" s="50" t="s">
        <v>6998</v>
      </c>
      <c r="K962" s="50" t="s">
        <v>1541</v>
      </c>
      <c r="L962" s="50" t="s">
        <v>1504</v>
      </c>
      <c r="M962" s="50" t="s">
        <v>6989</v>
      </c>
      <c r="N962" s="50" t="s">
        <v>1516</v>
      </c>
      <c r="O962" s="47" t="s">
        <v>2262</v>
      </c>
      <c r="P962" s="47"/>
      <c r="Q962" s="47" t="s">
        <v>1463</v>
      </c>
      <c r="R962" s="47" t="s">
        <v>1463</v>
      </c>
      <c r="S962" s="43"/>
      <c r="T962" s="47"/>
    </row>
    <row r="963" spans="1:20" ht="26.45">
      <c r="A963" s="44" t="s">
        <v>6999</v>
      </c>
      <c r="B963" s="44" t="s">
        <v>7000</v>
      </c>
      <c r="C963" s="45" t="s">
        <v>7001</v>
      </c>
      <c r="D963" s="44" t="s">
        <v>1419</v>
      </c>
      <c r="E963" s="44" t="s">
        <v>1481</v>
      </c>
      <c r="F963" s="44"/>
      <c r="G963" s="44" t="s">
        <v>1466</v>
      </c>
      <c r="H963" s="44" t="s">
        <v>7002</v>
      </c>
      <c r="I963" s="46" t="s">
        <v>7001</v>
      </c>
      <c r="J963" s="46"/>
      <c r="K963" s="46"/>
      <c r="L963" s="46"/>
      <c r="M963" s="46"/>
      <c r="N963" s="46"/>
      <c r="O963" s="44" t="s">
        <v>2262</v>
      </c>
      <c r="P963" s="44"/>
      <c r="Q963" s="44" t="s">
        <v>1463</v>
      </c>
      <c r="R963" s="44" t="s">
        <v>1463</v>
      </c>
      <c r="S963" s="43"/>
      <c r="T963" s="44"/>
    </row>
    <row r="964" spans="1:20" ht="26.45">
      <c r="A964" s="47" t="s">
        <v>7003</v>
      </c>
      <c r="B964" s="47" t="s">
        <v>7004</v>
      </c>
      <c r="C964" s="48" t="s">
        <v>7005</v>
      </c>
      <c r="D964" s="47" t="s">
        <v>1419</v>
      </c>
      <c r="E964" s="47" t="s">
        <v>1481</v>
      </c>
      <c r="F964" s="47"/>
      <c r="G964" s="47" t="s">
        <v>1466</v>
      </c>
      <c r="H964" s="47" t="s">
        <v>7006</v>
      </c>
      <c r="I964" s="50" t="s">
        <v>7005</v>
      </c>
      <c r="J964" s="50" t="s">
        <v>7007</v>
      </c>
      <c r="K964" s="50" t="s">
        <v>1541</v>
      </c>
      <c r="L964" s="50" t="s">
        <v>1504</v>
      </c>
      <c r="M964" s="50" t="s">
        <v>6989</v>
      </c>
      <c r="N964" s="50" t="s">
        <v>1516</v>
      </c>
      <c r="O964" s="47" t="s">
        <v>2262</v>
      </c>
      <c r="P964" s="47"/>
      <c r="Q964" s="47" t="s">
        <v>1463</v>
      </c>
      <c r="R964" s="47" t="s">
        <v>1463</v>
      </c>
      <c r="S964" s="43"/>
      <c r="T964" s="47"/>
    </row>
    <row r="965" spans="1:20">
      <c r="A965" s="44" t="s">
        <v>7008</v>
      </c>
      <c r="B965" s="44"/>
      <c r="C965" s="45" t="s">
        <v>7009</v>
      </c>
      <c r="D965" s="44" t="s">
        <v>1419</v>
      </c>
      <c r="E965" s="44" t="s">
        <v>1460</v>
      </c>
      <c r="F965" s="51">
        <v>41457.3824423611</v>
      </c>
      <c r="G965" s="44" t="s">
        <v>1466</v>
      </c>
      <c r="H965" s="44"/>
      <c r="I965" s="46"/>
      <c r="J965" s="46"/>
      <c r="K965" s="46"/>
      <c r="L965" s="46"/>
      <c r="M965" s="46"/>
      <c r="N965" s="46"/>
      <c r="O965" s="44"/>
      <c r="P965" s="44"/>
      <c r="Q965" s="44" t="s">
        <v>1463</v>
      </c>
      <c r="R965" s="44" t="s">
        <v>1463</v>
      </c>
      <c r="S965" s="43"/>
      <c r="T965" s="44"/>
    </row>
    <row r="966" spans="1:20" ht="26.45">
      <c r="A966" s="47" t="s">
        <v>7010</v>
      </c>
      <c r="B966" s="47" t="s">
        <v>7011</v>
      </c>
      <c r="C966" s="48" t="s">
        <v>7012</v>
      </c>
      <c r="D966" s="47" t="s">
        <v>1419</v>
      </c>
      <c r="E966" s="47" t="s">
        <v>1481</v>
      </c>
      <c r="F966" s="47"/>
      <c r="G966" s="47" t="s">
        <v>1466</v>
      </c>
      <c r="H966" s="47" t="s">
        <v>7013</v>
      </c>
      <c r="I966" s="50" t="s">
        <v>7012</v>
      </c>
      <c r="J966" s="50"/>
      <c r="K966" s="50"/>
      <c r="L966" s="50"/>
      <c r="M966" s="50"/>
      <c r="N966" s="50"/>
      <c r="O966" s="47" t="s">
        <v>2262</v>
      </c>
      <c r="P966" s="47"/>
      <c r="Q966" s="47" t="s">
        <v>1463</v>
      </c>
      <c r="R966" s="47" t="s">
        <v>1463</v>
      </c>
      <c r="S966" s="43"/>
      <c r="T966" s="47"/>
    </row>
    <row r="967" spans="1:20" ht="39.6">
      <c r="A967" s="44" t="s">
        <v>7014</v>
      </c>
      <c r="B967" s="44" t="s">
        <v>7015</v>
      </c>
      <c r="C967" s="45" t="s">
        <v>7016</v>
      </c>
      <c r="D967" s="44" t="s">
        <v>1432</v>
      </c>
      <c r="E967" s="44" t="s">
        <v>1481</v>
      </c>
      <c r="F967" s="44"/>
      <c r="G967" s="44" t="s">
        <v>1511</v>
      </c>
      <c r="H967" s="44" t="s">
        <v>7017</v>
      </c>
      <c r="I967" s="46" t="s">
        <v>7016</v>
      </c>
      <c r="J967" s="46"/>
      <c r="K967" s="46"/>
      <c r="L967" s="46"/>
      <c r="M967" s="46"/>
      <c r="N967" s="46"/>
      <c r="O967" s="44" t="s">
        <v>7018</v>
      </c>
      <c r="P967" s="44"/>
      <c r="Q967" s="44" t="s">
        <v>1463</v>
      </c>
      <c r="R967" s="44" t="s">
        <v>1463</v>
      </c>
      <c r="S967" s="43"/>
      <c r="T967" s="44"/>
    </row>
    <row r="968" spans="1:20" ht="26.45">
      <c r="A968" s="47" t="s">
        <v>383</v>
      </c>
      <c r="B968" s="47" t="s">
        <v>7019</v>
      </c>
      <c r="C968" s="48" t="s">
        <v>1141</v>
      </c>
      <c r="D968" s="47" t="s">
        <v>1432</v>
      </c>
      <c r="E968" s="47" t="s">
        <v>1481</v>
      </c>
      <c r="F968" s="47"/>
      <c r="G968" s="47" t="s">
        <v>1687</v>
      </c>
      <c r="H968" s="47" t="s">
        <v>7020</v>
      </c>
      <c r="I968" s="50" t="s">
        <v>7021</v>
      </c>
      <c r="J968" s="50" t="s">
        <v>7022</v>
      </c>
      <c r="K968" s="50" t="s">
        <v>7023</v>
      </c>
      <c r="L968" s="50" t="s">
        <v>1474</v>
      </c>
      <c r="M968" s="50" t="s">
        <v>7024</v>
      </c>
      <c r="N968" s="50" t="s">
        <v>1531</v>
      </c>
      <c r="O968" s="47" t="s">
        <v>7025</v>
      </c>
      <c r="P968" s="47" t="s">
        <v>7026</v>
      </c>
      <c r="Q968" s="47" t="s">
        <v>1695</v>
      </c>
      <c r="R968" s="47" t="s">
        <v>1463</v>
      </c>
      <c r="S968" s="43"/>
      <c r="T968" s="49">
        <v>45664</v>
      </c>
    </row>
    <row r="969" spans="1:20" ht="26.45">
      <c r="A969" s="44" t="s">
        <v>384</v>
      </c>
      <c r="B969" s="44" t="s">
        <v>7027</v>
      </c>
      <c r="C969" s="45" t="s">
        <v>1142</v>
      </c>
      <c r="D969" s="44" t="s">
        <v>1419</v>
      </c>
      <c r="E969" s="44" t="s">
        <v>1481</v>
      </c>
      <c r="F969" s="44"/>
      <c r="G969" s="44" t="s">
        <v>1466</v>
      </c>
      <c r="H969" s="44" t="s">
        <v>7028</v>
      </c>
      <c r="I969" s="46" t="s">
        <v>1142</v>
      </c>
      <c r="J969" s="46" t="s">
        <v>7029</v>
      </c>
      <c r="K969" s="46" t="s">
        <v>1523</v>
      </c>
      <c r="L969" s="46" t="s">
        <v>1504</v>
      </c>
      <c r="M969" s="46" t="s">
        <v>7030</v>
      </c>
      <c r="N969" s="46" t="s">
        <v>1629</v>
      </c>
      <c r="O969" s="44" t="s">
        <v>7031</v>
      </c>
      <c r="P969" s="44" t="s">
        <v>7032</v>
      </c>
      <c r="Q969" s="44" t="s">
        <v>1463</v>
      </c>
      <c r="R969" s="44" t="s">
        <v>1463</v>
      </c>
      <c r="S969" s="43"/>
      <c r="T969" s="51">
        <v>45691</v>
      </c>
    </row>
    <row r="970" spans="1:20">
      <c r="A970" s="47" t="s">
        <v>7033</v>
      </c>
      <c r="B970" s="47"/>
      <c r="C970" s="48" t="s">
        <v>7034</v>
      </c>
      <c r="D970" s="47" t="s">
        <v>1420</v>
      </c>
      <c r="E970" s="47" t="s">
        <v>1460</v>
      </c>
      <c r="F970" s="49">
        <v>41474.645796608798</v>
      </c>
      <c r="G970" s="47" t="s">
        <v>1466</v>
      </c>
      <c r="H970" s="47"/>
      <c r="I970" s="50"/>
      <c r="J970" s="50"/>
      <c r="K970" s="50"/>
      <c r="L970" s="50"/>
      <c r="M970" s="50"/>
      <c r="N970" s="50"/>
      <c r="O970" s="47"/>
      <c r="P970" s="47"/>
      <c r="Q970" s="47" t="s">
        <v>1463</v>
      </c>
      <c r="R970" s="47" t="s">
        <v>1463</v>
      </c>
      <c r="S970" s="43"/>
      <c r="T970" s="47"/>
    </row>
    <row r="971" spans="1:20">
      <c r="A971" s="44" t="s">
        <v>7035</v>
      </c>
      <c r="B971" s="44" t="s">
        <v>7036</v>
      </c>
      <c r="C971" s="45" t="s">
        <v>7037</v>
      </c>
      <c r="D971" s="44" t="s">
        <v>1419</v>
      </c>
      <c r="E971" s="44" t="s">
        <v>1481</v>
      </c>
      <c r="F971" s="44"/>
      <c r="G971" s="44" t="s">
        <v>1663</v>
      </c>
      <c r="H971" s="44" t="s">
        <v>7038</v>
      </c>
      <c r="I971" s="46" t="s">
        <v>7037</v>
      </c>
      <c r="J971" s="46"/>
      <c r="K971" s="46"/>
      <c r="L971" s="46"/>
      <c r="M971" s="46"/>
      <c r="N971" s="46"/>
      <c r="O971" s="44" t="s">
        <v>7039</v>
      </c>
      <c r="P971" s="44"/>
      <c r="Q971" s="44" t="s">
        <v>1463</v>
      </c>
      <c r="R971" s="44" t="s">
        <v>1463</v>
      </c>
      <c r="S971" s="43"/>
      <c r="T971" s="44"/>
    </row>
    <row r="972" spans="1:20">
      <c r="A972" s="47" t="s">
        <v>7040</v>
      </c>
      <c r="B972" s="47" t="s">
        <v>7041</v>
      </c>
      <c r="C972" s="48" t="s">
        <v>7042</v>
      </c>
      <c r="D972" s="47" t="s">
        <v>1419</v>
      </c>
      <c r="E972" s="47" t="s">
        <v>1460</v>
      </c>
      <c r="F972" s="49">
        <v>43550.8059218403</v>
      </c>
      <c r="G972" s="47" t="s">
        <v>1466</v>
      </c>
      <c r="H972" s="47" t="s">
        <v>7043</v>
      </c>
      <c r="I972" s="50" t="s">
        <v>7042</v>
      </c>
      <c r="J972" s="50" t="s">
        <v>7044</v>
      </c>
      <c r="K972" s="50" t="s">
        <v>6556</v>
      </c>
      <c r="L972" s="50" t="s">
        <v>1474</v>
      </c>
      <c r="M972" s="50" t="s">
        <v>7045</v>
      </c>
      <c r="N972" s="50" t="s">
        <v>1629</v>
      </c>
      <c r="O972" s="47" t="s">
        <v>7046</v>
      </c>
      <c r="P972" s="47"/>
      <c r="Q972" s="47" t="s">
        <v>1463</v>
      </c>
      <c r="R972" s="47" t="s">
        <v>1463</v>
      </c>
      <c r="S972" s="43"/>
      <c r="T972" s="49">
        <v>43598</v>
      </c>
    </row>
    <row r="973" spans="1:20" ht="26.45">
      <c r="A973" s="44" t="s">
        <v>385</v>
      </c>
      <c r="B973" s="44" t="s">
        <v>7047</v>
      </c>
      <c r="C973" s="45" t="s">
        <v>1143</v>
      </c>
      <c r="D973" s="44" t="s">
        <v>1419</v>
      </c>
      <c r="E973" s="44" t="s">
        <v>1481</v>
      </c>
      <c r="F973" s="44"/>
      <c r="G973" s="44" t="s">
        <v>1466</v>
      </c>
      <c r="H973" s="44" t="s">
        <v>7048</v>
      </c>
      <c r="I973" s="46" t="s">
        <v>7049</v>
      </c>
      <c r="J973" s="46" t="s">
        <v>7050</v>
      </c>
      <c r="K973" s="46" t="s">
        <v>1493</v>
      </c>
      <c r="L973" s="46" t="s">
        <v>1504</v>
      </c>
      <c r="M973" s="46" t="s">
        <v>7051</v>
      </c>
      <c r="N973" s="46" t="s">
        <v>1525</v>
      </c>
      <c r="O973" s="44" t="s">
        <v>7052</v>
      </c>
      <c r="P973" s="44" t="s">
        <v>7053</v>
      </c>
      <c r="Q973" s="44" t="s">
        <v>1463</v>
      </c>
      <c r="R973" s="44" t="s">
        <v>1463</v>
      </c>
      <c r="S973" s="43"/>
      <c r="T973" s="51">
        <v>45279</v>
      </c>
    </row>
    <row r="974" spans="1:20" ht="26.45">
      <c r="A974" s="47" t="s">
        <v>386</v>
      </c>
      <c r="B974" s="47" t="s">
        <v>7054</v>
      </c>
      <c r="C974" s="48" t="s">
        <v>1144</v>
      </c>
      <c r="D974" s="47" t="s">
        <v>1428</v>
      </c>
      <c r="E974" s="47" t="s">
        <v>1481</v>
      </c>
      <c r="F974" s="47"/>
      <c r="G974" s="47" t="s">
        <v>1687</v>
      </c>
      <c r="H974" s="47" t="s">
        <v>7055</v>
      </c>
      <c r="I974" s="50" t="s">
        <v>7056</v>
      </c>
      <c r="J974" s="50" t="s">
        <v>7057</v>
      </c>
      <c r="K974" s="50" t="s">
        <v>7058</v>
      </c>
      <c r="L974" s="50" t="s">
        <v>2117</v>
      </c>
      <c r="M974" s="50" t="s">
        <v>7059</v>
      </c>
      <c r="N974" s="50" t="s">
        <v>1531</v>
      </c>
      <c r="O974" s="47" t="s">
        <v>7060</v>
      </c>
      <c r="P974" s="47" t="s">
        <v>7061</v>
      </c>
      <c r="Q974" s="47" t="s">
        <v>1695</v>
      </c>
      <c r="R974" s="47" t="s">
        <v>1463</v>
      </c>
      <c r="S974" s="43"/>
      <c r="T974" s="49">
        <v>45320</v>
      </c>
    </row>
    <row r="975" spans="1:20" ht="26.45">
      <c r="A975" s="44" t="s">
        <v>1145</v>
      </c>
      <c r="B975" s="44" t="s">
        <v>7062</v>
      </c>
      <c r="C975" s="45" t="s">
        <v>1146</v>
      </c>
      <c r="D975" s="44" t="s">
        <v>1414</v>
      </c>
      <c r="E975" s="44" t="s">
        <v>1481</v>
      </c>
      <c r="F975" s="44"/>
      <c r="G975" s="44" t="s">
        <v>1466</v>
      </c>
      <c r="H975" s="44" t="s">
        <v>7063</v>
      </c>
      <c r="I975" s="46" t="s">
        <v>7064</v>
      </c>
      <c r="J975" s="46" t="s">
        <v>7065</v>
      </c>
      <c r="K975" s="46" t="s">
        <v>1484</v>
      </c>
      <c r="L975" s="46" t="s">
        <v>1474</v>
      </c>
      <c r="M975" s="46" t="s">
        <v>7066</v>
      </c>
      <c r="N975" s="46" t="s">
        <v>1495</v>
      </c>
      <c r="O975" s="44" t="s">
        <v>7067</v>
      </c>
      <c r="P975" s="44" t="s">
        <v>7068</v>
      </c>
      <c r="Q975" s="44" t="s">
        <v>1463</v>
      </c>
      <c r="R975" s="44" t="s">
        <v>1463</v>
      </c>
      <c r="S975" s="43"/>
      <c r="T975" s="51">
        <v>45415</v>
      </c>
    </row>
    <row r="976" spans="1:20" ht="26.45">
      <c r="A976" s="47" t="s">
        <v>387</v>
      </c>
      <c r="B976" s="47" t="s">
        <v>7069</v>
      </c>
      <c r="C976" s="48" t="s">
        <v>1146</v>
      </c>
      <c r="D976" s="47" t="s">
        <v>1414</v>
      </c>
      <c r="E976" s="47" t="s">
        <v>1481</v>
      </c>
      <c r="F976" s="47"/>
      <c r="G976" s="47" t="s">
        <v>1466</v>
      </c>
      <c r="H976" s="47" t="s">
        <v>7070</v>
      </c>
      <c r="I976" s="50" t="s">
        <v>7071</v>
      </c>
      <c r="J976" s="50" t="s">
        <v>7072</v>
      </c>
      <c r="K976" s="50" t="s">
        <v>1484</v>
      </c>
      <c r="L976" s="50" t="s">
        <v>1474</v>
      </c>
      <c r="M976" s="50" t="s">
        <v>7066</v>
      </c>
      <c r="N976" s="50" t="s">
        <v>1495</v>
      </c>
      <c r="O976" s="47" t="s">
        <v>7067</v>
      </c>
      <c r="P976" s="47" t="s">
        <v>7068</v>
      </c>
      <c r="Q976" s="47" t="s">
        <v>1463</v>
      </c>
      <c r="R976" s="47" t="s">
        <v>1463</v>
      </c>
      <c r="S976" s="43"/>
      <c r="T976" s="49">
        <v>45415</v>
      </c>
    </row>
    <row r="977" spans="1:20">
      <c r="A977" s="44" t="s">
        <v>7073</v>
      </c>
      <c r="B977" s="44" t="s">
        <v>7074</v>
      </c>
      <c r="C977" s="45" t="s">
        <v>7075</v>
      </c>
      <c r="D977" s="44" t="s">
        <v>1419</v>
      </c>
      <c r="E977" s="44" t="s">
        <v>1481</v>
      </c>
      <c r="F977" s="44"/>
      <c r="G977" s="44" t="s">
        <v>1461</v>
      </c>
      <c r="H977" s="44"/>
      <c r="I977" s="46"/>
      <c r="J977" s="46" t="s">
        <v>7076</v>
      </c>
      <c r="K977" s="46" t="s">
        <v>3096</v>
      </c>
      <c r="L977" s="46" t="s">
        <v>1504</v>
      </c>
      <c r="M977" s="46" t="s">
        <v>7077</v>
      </c>
      <c r="N977" s="46"/>
      <c r="O977" s="44" t="s">
        <v>7078</v>
      </c>
      <c r="P977" s="44"/>
      <c r="Q977" s="44" t="s">
        <v>1463</v>
      </c>
      <c r="R977" s="44" t="s">
        <v>1463</v>
      </c>
      <c r="S977" s="43"/>
      <c r="T977" s="51">
        <v>43069</v>
      </c>
    </row>
    <row r="978" spans="1:20" ht="26.45">
      <c r="A978" s="47" t="s">
        <v>7079</v>
      </c>
      <c r="B978" s="47" t="s">
        <v>7080</v>
      </c>
      <c r="C978" s="48" t="s">
        <v>7081</v>
      </c>
      <c r="D978" s="47" t="s">
        <v>1419</v>
      </c>
      <c r="E978" s="47" t="s">
        <v>1460</v>
      </c>
      <c r="F978" s="49">
        <v>42718.733664155101</v>
      </c>
      <c r="G978" s="47" t="s">
        <v>1466</v>
      </c>
      <c r="H978" s="47" t="s">
        <v>7082</v>
      </c>
      <c r="I978" s="50" t="s">
        <v>7081</v>
      </c>
      <c r="J978" s="50" t="s">
        <v>7083</v>
      </c>
      <c r="K978" s="50" t="s">
        <v>1523</v>
      </c>
      <c r="L978" s="50" t="s">
        <v>1504</v>
      </c>
      <c r="M978" s="50" t="s">
        <v>7084</v>
      </c>
      <c r="N978" s="50" t="s">
        <v>1476</v>
      </c>
      <c r="O978" s="47" t="s">
        <v>2262</v>
      </c>
      <c r="P978" s="47"/>
      <c r="Q978" s="47" t="s">
        <v>1463</v>
      </c>
      <c r="R978" s="47" t="s">
        <v>1463</v>
      </c>
      <c r="S978" s="43"/>
      <c r="T978" s="47"/>
    </row>
    <row r="979" spans="1:20" ht="26.45">
      <c r="A979" s="44" t="s">
        <v>1147</v>
      </c>
      <c r="B979" s="44" t="s">
        <v>7085</v>
      </c>
      <c r="C979" s="45" t="s">
        <v>1148</v>
      </c>
      <c r="D979" s="44" t="s">
        <v>1419</v>
      </c>
      <c r="E979" s="44" t="s">
        <v>1481</v>
      </c>
      <c r="F979" s="44"/>
      <c r="G979" s="44" t="s">
        <v>1466</v>
      </c>
      <c r="H979" s="44" t="s">
        <v>7086</v>
      </c>
      <c r="I979" s="46" t="s">
        <v>7087</v>
      </c>
      <c r="J979" s="46" t="s">
        <v>7088</v>
      </c>
      <c r="K979" s="46" t="s">
        <v>1493</v>
      </c>
      <c r="L979" s="46" t="s">
        <v>1504</v>
      </c>
      <c r="M979" s="46" t="s">
        <v>7089</v>
      </c>
      <c r="N979" s="46" t="s">
        <v>1495</v>
      </c>
      <c r="O979" s="44" t="s">
        <v>7090</v>
      </c>
      <c r="P979" s="44" t="s">
        <v>7091</v>
      </c>
      <c r="Q979" s="44" t="s">
        <v>1463</v>
      </c>
      <c r="R979" s="44" t="s">
        <v>1463</v>
      </c>
      <c r="S979" s="43"/>
      <c r="T979" s="51">
        <v>45485</v>
      </c>
    </row>
    <row r="980" spans="1:20" ht="26.45">
      <c r="A980" s="47" t="s">
        <v>1149</v>
      </c>
      <c r="B980" s="47" t="s">
        <v>7092</v>
      </c>
      <c r="C980" s="48" t="s">
        <v>1150</v>
      </c>
      <c r="D980" s="47" t="s">
        <v>1419</v>
      </c>
      <c r="E980" s="47" t="s">
        <v>1481</v>
      </c>
      <c r="F980" s="47"/>
      <c r="G980" s="47" t="s">
        <v>1466</v>
      </c>
      <c r="H980" s="47" t="s">
        <v>7093</v>
      </c>
      <c r="I980" s="50" t="s">
        <v>1150</v>
      </c>
      <c r="J980" s="50" t="s">
        <v>7094</v>
      </c>
      <c r="K980" s="50" t="s">
        <v>1888</v>
      </c>
      <c r="L980" s="50" t="s">
        <v>1474</v>
      </c>
      <c r="M980" s="50" t="s">
        <v>7095</v>
      </c>
      <c r="N980" s="50" t="s">
        <v>1744</v>
      </c>
      <c r="O980" s="47"/>
      <c r="P980" s="47" t="s">
        <v>7096</v>
      </c>
      <c r="Q980" s="47" t="s">
        <v>1463</v>
      </c>
      <c r="R980" s="47" t="s">
        <v>1463</v>
      </c>
      <c r="S980" s="43"/>
      <c r="T980" s="49">
        <v>45679</v>
      </c>
    </row>
    <row r="981" spans="1:20" ht="26.45">
      <c r="A981" s="44" t="s">
        <v>7097</v>
      </c>
      <c r="B981" s="44" t="s">
        <v>7098</v>
      </c>
      <c r="C981" s="45" t="s">
        <v>7099</v>
      </c>
      <c r="D981" s="44" t="s">
        <v>1425</v>
      </c>
      <c r="E981" s="44" t="s">
        <v>1481</v>
      </c>
      <c r="F981" s="44"/>
      <c r="G981" s="44" t="s">
        <v>1490</v>
      </c>
      <c r="H981" s="44" t="s">
        <v>7100</v>
      </c>
      <c r="I981" s="46" t="s">
        <v>7099</v>
      </c>
      <c r="J981" s="46" t="s">
        <v>7101</v>
      </c>
      <c r="K981" s="46" t="s">
        <v>1425</v>
      </c>
      <c r="L981" s="46" t="s">
        <v>1504</v>
      </c>
      <c r="M981" s="46" t="s">
        <v>7102</v>
      </c>
      <c r="N981" s="46" t="s">
        <v>1495</v>
      </c>
      <c r="O981" s="44" t="s">
        <v>7103</v>
      </c>
      <c r="P981" s="44" t="s">
        <v>7104</v>
      </c>
      <c r="Q981" s="44" t="s">
        <v>1463</v>
      </c>
      <c r="R981" s="44" t="s">
        <v>1463</v>
      </c>
      <c r="S981" s="43"/>
      <c r="T981" s="51">
        <v>45392</v>
      </c>
    </row>
    <row r="982" spans="1:20">
      <c r="A982" s="47" t="s">
        <v>7105</v>
      </c>
      <c r="B982" s="47" t="s">
        <v>7106</v>
      </c>
      <c r="C982" s="48" t="s">
        <v>7107</v>
      </c>
      <c r="D982" s="47" t="s">
        <v>1420</v>
      </c>
      <c r="E982" s="47" t="s">
        <v>1481</v>
      </c>
      <c r="F982" s="47"/>
      <c r="G982" s="47" t="s">
        <v>1663</v>
      </c>
      <c r="H982" s="47"/>
      <c r="I982" s="50" t="s">
        <v>7107</v>
      </c>
      <c r="J982" s="50" t="s">
        <v>7108</v>
      </c>
      <c r="K982" s="50" t="s">
        <v>7109</v>
      </c>
      <c r="L982" s="50" t="s">
        <v>1504</v>
      </c>
      <c r="M982" s="50" t="s">
        <v>7110</v>
      </c>
      <c r="N982" s="50" t="s">
        <v>1641</v>
      </c>
      <c r="O982" s="47" t="s">
        <v>7111</v>
      </c>
      <c r="P982" s="47"/>
      <c r="Q982" s="47" t="s">
        <v>1463</v>
      </c>
      <c r="R982" s="47" t="s">
        <v>1463</v>
      </c>
      <c r="S982" s="43"/>
      <c r="T982" s="47"/>
    </row>
    <row r="983" spans="1:20" ht="26.45">
      <c r="A983" s="44" t="s">
        <v>388</v>
      </c>
      <c r="B983" s="44" t="s">
        <v>7112</v>
      </c>
      <c r="C983" s="45" t="s">
        <v>1151</v>
      </c>
      <c r="D983" s="44" t="s">
        <v>1420</v>
      </c>
      <c r="E983" s="44" t="s">
        <v>1481</v>
      </c>
      <c r="F983" s="44"/>
      <c r="G983" s="44" t="s">
        <v>1687</v>
      </c>
      <c r="H983" s="44" t="s">
        <v>7113</v>
      </c>
      <c r="I983" s="46" t="s">
        <v>7114</v>
      </c>
      <c r="J983" s="46" t="s">
        <v>7115</v>
      </c>
      <c r="K983" s="46" t="s">
        <v>3443</v>
      </c>
      <c r="L983" s="46" t="s">
        <v>1474</v>
      </c>
      <c r="M983" s="46" t="s">
        <v>7116</v>
      </c>
      <c r="N983" s="46" t="s">
        <v>1531</v>
      </c>
      <c r="O983" s="44" t="s">
        <v>7117</v>
      </c>
      <c r="P983" s="44" t="s">
        <v>7118</v>
      </c>
      <c r="Q983" s="44" t="s">
        <v>1695</v>
      </c>
      <c r="R983" s="44" t="s">
        <v>1463</v>
      </c>
      <c r="S983" s="43"/>
      <c r="T983" s="51">
        <v>45583</v>
      </c>
    </row>
    <row r="984" spans="1:20" ht="26.45">
      <c r="A984" s="47" t="s">
        <v>389</v>
      </c>
      <c r="B984" s="47" t="s">
        <v>7119</v>
      </c>
      <c r="C984" s="48" t="s">
        <v>1152</v>
      </c>
      <c r="D984" s="47" t="s">
        <v>1420</v>
      </c>
      <c r="E984" s="47" t="s">
        <v>1481</v>
      </c>
      <c r="F984" s="47"/>
      <c r="G984" s="47" t="s">
        <v>1466</v>
      </c>
      <c r="H984" s="47" t="s">
        <v>7120</v>
      </c>
      <c r="I984" s="50" t="s">
        <v>1152</v>
      </c>
      <c r="J984" s="50" t="s">
        <v>7121</v>
      </c>
      <c r="K984" s="50" t="s">
        <v>1654</v>
      </c>
      <c r="L984" s="50" t="s">
        <v>1474</v>
      </c>
      <c r="M984" s="50" t="s">
        <v>7122</v>
      </c>
      <c r="N984" s="50" t="s">
        <v>1476</v>
      </c>
      <c r="O984" s="47" t="s">
        <v>7123</v>
      </c>
      <c r="P984" s="47" t="s">
        <v>7124</v>
      </c>
      <c r="Q984" s="47" t="s">
        <v>1463</v>
      </c>
      <c r="R984" s="47" t="s">
        <v>1463</v>
      </c>
      <c r="S984" s="43"/>
      <c r="T984" s="49">
        <v>45660</v>
      </c>
    </row>
    <row r="985" spans="1:20" ht="26.45">
      <c r="A985" s="44" t="s">
        <v>390</v>
      </c>
      <c r="B985" s="44" t="s">
        <v>7125</v>
      </c>
      <c r="C985" s="45" t="s">
        <v>1153</v>
      </c>
      <c r="D985" s="44" t="s">
        <v>1414</v>
      </c>
      <c r="E985" s="44" t="s">
        <v>1481</v>
      </c>
      <c r="F985" s="44"/>
      <c r="G985" s="44" t="s">
        <v>1466</v>
      </c>
      <c r="H985" s="44" t="s">
        <v>7126</v>
      </c>
      <c r="I985" s="46" t="s">
        <v>1153</v>
      </c>
      <c r="J985" s="46" t="s">
        <v>7127</v>
      </c>
      <c r="K985" s="46" t="s">
        <v>1484</v>
      </c>
      <c r="L985" s="46" t="s">
        <v>1474</v>
      </c>
      <c r="M985" s="46" t="s">
        <v>7128</v>
      </c>
      <c r="N985" s="46" t="s">
        <v>1525</v>
      </c>
      <c r="O985" s="44" t="s">
        <v>7129</v>
      </c>
      <c r="P985" s="44" t="s">
        <v>7130</v>
      </c>
      <c r="Q985" s="44" t="s">
        <v>1463</v>
      </c>
      <c r="R985" s="44" t="s">
        <v>1463</v>
      </c>
      <c r="S985" s="43"/>
      <c r="T985" s="51">
        <v>45691</v>
      </c>
    </row>
    <row r="986" spans="1:20">
      <c r="A986" s="47" t="s">
        <v>7131</v>
      </c>
      <c r="B986" s="47" t="s">
        <v>7132</v>
      </c>
      <c r="C986" s="48" t="s">
        <v>7133</v>
      </c>
      <c r="D986" s="47" t="s">
        <v>1414</v>
      </c>
      <c r="E986" s="47" t="s">
        <v>1460</v>
      </c>
      <c r="F986" s="49">
        <v>42549.958219560198</v>
      </c>
      <c r="G986" s="47" t="s">
        <v>1466</v>
      </c>
      <c r="H986" s="47" t="s">
        <v>7134</v>
      </c>
      <c r="I986" s="50" t="s">
        <v>7133</v>
      </c>
      <c r="J986" s="50" t="s">
        <v>7135</v>
      </c>
      <c r="K986" s="50" t="s">
        <v>2764</v>
      </c>
      <c r="L986" s="50" t="s">
        <v>1504</v>
      </c>
      <c r="M986" s="50" t="s">
        <v>7136</v>
      </c>
      <c r="N986" s="50" t="s">
        <v>1531</v>
      </c>
      <c r="O986" s="47" t="s">
        <v>7129</v>
      </c>
      <c r="P986" s="47"/>
      <c r="Q986" s="47" t="s">
        <v>1463</v>
      </c>
      <c r="R986" s="47" t="s">
        <v>1463</v>
      </c>
      <c r="S986" s="43"/>
      <c r="T986" s="49">
        <v>42854</v>
      </c>
    </row>
    <row r="987" spans="1:20">
      <c r="A987" s="44" t="s">
        <v>7137</v>
      </c>
      <c r="B987" s="44"/>
      <c r="C987" s="45" t="s">
        <v>7138</v>
      </c>
      <c r="D987" s="44" t="s">
        <v>1414</v>
      </c>
      <c r="E987" s="44" t="s">
        <v>1460</v>
      </c>
      <c r="F987" s="51">
        <v>41457.382442905102</v>
      </c>
      <c r="G987" s="44" t="s">
        <v>1663</v>
      </c>
      <c r="H987" s="44" t="s">
        <v>7139</v>
      </c>
      <c r="I987" s="46"/>
      <c r="J987" s="46"/>
      <c r="K987" s="46"/>
      <c r="L987" s="46"/>
      <c r="M987" s="46"/>
      <c r="N987" s="46"/>
      <c r="O987" s="44"/>
      <c r="P987" s="44"/>
      <c r="Q987" s="44" t="s">
        <v>1463</v>
      </c>
      <c r="R987" s="44" t="s">
        <v>1463</v>
      </c>
      <c r="S987" s="43"/>
      <c r="T987" s="44"/>
    </row>
    <row r="988" spans="1:20">
      <c r="A988" s="47" t="s">
        <v>7140</v>
      </c>
      <c r="B988" s="47" t="s">
        <v>7141</v>
      </c>
      <c r="C988" s="48" t="s">
        <v>7142</v>
      </c>
      <c r="D988" s="47" t="s">
        <v>1414</v>
      </c>
      <c r="E988" s="47" t="s">
        <v>1481</v>
      </c>
      <c r="F988" s="47"/>
      <c r="G988" s="47" t="s">
        <v>1461</v>
      </c>
      <c r="H988" s="47"/>
      <c r="I988" s="50"/>
      <c r="J988" s="50"/>
      <c r="K988" s="50"/>
      <c r="L988" s="50"/>
      <c r="M988" s="50"/>
      <c r="N988" s="50"/>
      <c r="O988" s="47"/>
      <c r="P988" s="47"/>
      <c r="Q988" s="47" t="s">
        <v>1463</v>
      </c>
      <c r="R988" s="47" t="s">
        <v>1463</v>
      </c>
      <c r="S988" s="43"/>
      <c r="T988" s="47"/>
    </row>
    <row r="989" spans="1:20">
      <c r="A989" s="44" t="s">
        <v>7143</v>
      </c>
      <c r="B989" s="44"/>
      <c r="C989" s="45" t="s">
        <v>7144</v>
      </c>
      <c r="D989" s="44" t="s">
        <v>1419</v>
      </c>
      <c r="E989" s="44" t="s">
        <v>1460</v>
      </c>
      <c r="F989" s="51">
        <v>41457.382443055598</v>
      </c>
      <c r="G989" s="44" t="s">
        <v>1466</v>
      </c>
      <c r="H989" s="44"/>
      <c r="I989" s="46"/>
      <c r="J989" s="46"/>
      <c r="K989" s="46"/>
      <c r="L989" s="46"/>
      <c r="M989" s="46"/>
      <c r="N989" s="46"/>
      <c r="O989" s="44"/>
      <c r="P989" s="44"/>
      <c r="Q989" s="44" t="s">
        <v>1463</v>
      </c>
      <c r="R989" s="44" t="s">
        <v>1463</v>
      </c>
      <c r="S989" s="43"/>
      <c r="T989" s="44"/>
    </row>
    <row r="990" spans="1:20">
      <c r="A990" s="47" t="s">
        <v>7145</v>
      </c>
      <c r="B990" s="47"/>
      <c r="C990" s="48" t="s">
        <v>7146</v>
      </c>
      <c r="D990" s="47" t="s">
        <v>1419</v>
      </c>
      <c r="E990" s="47" t="s">
        <v>1460</v>
      </c>
      <c r="F990" s="49">
        <v>41457.382442129601</v>
      </c>
      <c r="G990" s="47" t="s">
        <v>1466</v>
      </c>
      <c r="H990" s="47"/>
      <c r="I990" s="50"/>
      <c r="J990" s="50"/>
      <c r="K990" s="50"/>
      <c r="L990" s="50"/>
      <c r="M990" s="50"/>
      <c r="N990" s="50"/>
      <c r="O990" s="47"/>
      <c r="P990" s="47"/>
      <c r="Q990" s="47" t="s">
        <v>1463</v>
      </c>
      <c r="R990" s="47" t="s">
        <v>1463</v>
      </c>
      <c r="S990" s="43"/>
      <c r="T990" s="47"/>
    </row>
    <row r="991" spans="1:20" ht="26.45">
      <c r="A991" s="44" t="s">
        <v>7147</v>
      </c>
      <c r="B991" s="44" t="s">
        <v>2964</v>
      </c>
      <c r="C991" s="45" t="s">
        <v>7148</v>
      </c>
      <c r="D991" s="44" t="s">
        <v>1410</v>
      </c>
      <c r="E991" s="44" t="s">
        <v>1481</v>
      </c>
      <c r="F991" s="44"/>
      <c r="G991" s="44" t="s">
        <v>1490</v>
      </c>
      <c r="H991" s="44" t="s">
        <v>7149</v>
      </c>
      <c r="I991" s="46" t="s">
        <v>7148</v>
      </c>
      <c r="J991" s="46" t="s">
        <v>7150</v>
      </c>
      <c r="K991" s="46" t="s">
        <v>7151</v>
      </c>
      <c r="L991" s="46" t="s">
        <v>1504</v>
      </c>
      <c r="M991" s="46" t="s">
        <v>7152</v>
      </c>
      <c r="N991" s="46" t="s">
        <v>1744</v>
      </c>
      <c r="O991" s="44"/>
      <c r="P991" s="44"/>
      <c r="Q991" s="44" t="s">
        <v>1463</v>
      </c>
      <c r="R991" s="44" t="s">
        <v>1463</v>
      </c>
      <c r="S991" s="43"/>
      <c r="T991" s="44"/>
    </row>
    <row r="992" spans="1:20">
      <c r="A992" s="47" t="s">
        <v>7153</v>
      </c>
      <c r="B992" s="47" t="s">
        <v>7154</v>
      </c>
      <c r="C992" s="48" t="s">
        <v>7155</v>
      </c>
      <c r="D992" s="47" t="s">
        <v>1419</v>
      </c>
      <c r="E992" s="47" t="s">
        <v>1460</v>
      </c>
      <c r="F992" s="49">
        <v>42566.752114155097</v>
      </c>
      <c r="G992" s="47" t="s">
        <v>1466</v>
      </c>
      <c r="H992" s="47" t="s">
        <v>7156</v>
      </c>
      <c r="I992" s="50" t="s">
        <v>7155</v>
      </c>
      <c r="J992" s="50" t="s">
        <v>7157</v>
      </c>
      <c r="K992" s="50" t="s">
        <v>3096</v>
      </c>
      <c r="L992" s="50" t="s">
        <v>1504</v>
      </c>
      <c r="M992" s="50" t="s">
        <v>7158</v>
      </c>
      <c r="N992" s="50" t="s">
        <v>1516</v>
      </c>
      <c r="O992" s="47" t="s">
        <v>7159</v>
      </c>
      <c r="P992" s="47"/>
      <c r="Q992" s="47" t="s">
        <v>1463</v>
      </c>
      <c r="R992" s="47" t="s">
        <v>1463</v>
      </c>
      <c r="S992" s="43"/>
      <c r="T992" s="49">
        <v>42922</v>
      </c>
    </row>
    <row r="993" spans="1:20" ht="26.45">
      <c r="A993" s="44" t="s">
        <v>7160</v>
      </c>
      <c r="B993" s="44" t="s">
        <v>7161</v>
      </c>
      <c r="C993" s="45" t="s">
        <v>7162</v>
      </c>
      <c r="D993" s="44" t="s">
        <v>1430</v>
      </c>
      <c r="E993" s="44" t="s">
        <v>1481</v>
      </c>
      <c r="F993" s="44"/>
      <c r="G993" s="44" t="s">
        <v>1490</v>
      </c>
      <c r="H993" s="44" t="s">
        <v>7163</v>
      </c>
      <c r="I993" s="46" t="s">
        <v>7162</v>
      </c>
      <c r="J993" s="46" t="s">
        <v>7164</v>
      </c>
      <c r="K993" s="46" t="s">
        <v>3337</v>
      </c>
      <c r="L993" s="46" t="s">
        <v>3139</v>
      </c>
      <c r="M993" s="46" t="s">
        <v>7165</v>
      </c>
      <c r="N993" s="46" t="s">
        <v>1641</v>
      </c>
      <c r="O993" s="44"/>
      <c r="P993" s="44"/>
      <c r="Q993" s="44" t="s">
        <v>1463</v>
      </c>
      <c r="R993" s="44" t="s">
        <v>1463</v>
      </c>
      <c r="S993" s="43"/>
      <c r="T993" s="51">
        <v>45155</v>
      </c>
    </row>
    <row r="994" spans="1:20" ht="26.45">
      <c r="A994" s="47" t="s">
        <v>391</v>
      </c>
      <c r="B994" s="47" t="s">
        <v>7166</v>
      </c>
      <c r="C994" s="48" t="s">
        <v>1154</v>
      </c>
      <c r="D994" s="47" t="s">
        <v>1431</v>
      </c>
      <c r="E994" s="47" t="s">
        <v>1481</v>
      </c>
      <c r="F994" s="47"/>
      <c r="G994" s="47" t="s">
        <v>1687</v>
      </c>
      <c r="H994" s="47" t="s">
        <v>7167</v>
      </c>
      <c r="I994" s="50" t="s">
        <v>7168</v>
      </c>
      <c r="J994" s="50" t="s">
        <v>7169</v>
      </c>
      <c r="K994" s="50" t="s">
        <v>7170</v>
      </c>
      <c r="L994" s="50" t="s">
        <v>7171</v>
      </c>
      <c r="M994" s="50" t="s">
        <v>7172</v>
      </c>
      <c r="N994" s="50" t="s">
        <v>1516</v>
      </c>
      <c r="O994" s="47" t="s">
        <v>7173</v>
      </c>
      <c r="P994" s="47" t="s">
        <v>7174</v>
      </c>
      <c r="Q994" s="47" t="s">
        <v>1695</v>
      </c>
      <c r="R994" s="47" t="s">
        <v>1463</v>
      </c>
      <c r="S994" s="43"/>
      <c r="T994" s="49">
        <v>45349</v>
      </c>
    </row>
    <row r="995" spans="1:20" ht="26.45">
      <c r="A995" s="44" t="s">
        <v>392</v>
      </c>
      <c r="B995" s="44" t="s">
        <v>7175</v>
      </c>
      <c r="C995" s="45" t="s">
        <v>1155</v>
      </c>
      <c r="D995" s="44" t="s">
        <v>1419</v>
      </c>
      <c r="E995" s="44" t="s">
        <v>1481</v>
      </c>
      <c r="F995" s="44"/>
      <c r="G995" s="44" t="s">
        <v>1687</v>
      </c>
      <c r="H995" s="44" t="s">
        <v>7176</v>
      </c>
      <c r="I995" s="46" t="s">
        <v>7177</v>
      </c>
      <c r="J995" s="46" t="s">
        <v>7178</v>
      </c>
      <c r="K995" s="46" t="s">
        <v>3985</v>
      </c>
      <c r="L995" s="46" t="s">
        <v>1504</v>
      </c>
      <c r="M995" s="46" t="s">
        <v>7179</v>
      </c>
      <c r="N995" s="46" t="s">
        <v>1744</v>
      </c>
      <c r="O995" s="44" t="s">
        <v>7180</v>
      </c>
      <c r="P995" s="44" t="s">
        <v>7181</v>
      </c>
      <c r="Q995" s="44" t="s">
        <v>1695</v>
      </c>
      <c r="R995" s="44" t="s">
        <v>1463</v>
      </c>
      <c r="S995" s="43"/>
      <c r="T995" s="51">
        <v>45410</v>
      </c>
    </row>
    <row r="996" spans="1:20" ht="26.45">
      <c r="A996" s="47" t="s">
        <v>7182</v>
      </c>
      <c r="B996" s="47" t="s">
        <v>7183</v>
      </c>
      <c r="C996" s="48" t="s">
        <v>7184</v>
      </c>
      <c r="D996" s="47" t="s">
        <v>1419</v>
      </c>
      <c r="E996" s="47" t="s">
        <v>1481</v>
      </c>
      <c r="F996" s="47"/>
      <c r="G996" s="47" t="s">
        <v>1490</v>
      </c>
      <c r="H996" s="47"/>
      <c r="I996" s="50" t="s">
        <v>7184</v>
      </c>
      <c r="J996" s="50" t="s">
        <v>7185</v>
      </c>
      <c r="K996" s="50" t="s">
        <v>2829</v>
      </c>
      <c r="L996" s="50" t="s">
        <v>1504</v>
      </c>
      <c r="M996" s="50" t="s">
        <v>7186</v>
      </c>
      <c r="N996" s="50" t="s">
        <v>1729</v>
      </c>
      <c r="O996" s="47"/>
      <c r="P996" s="47"/>
      <c r="Q996" s="47" t="s">
        <v>1463</v>
      </c>
      <c r="R996" s="47" t="s">
        <v>1463</v>
      </c>
      <c r="S996" s="43"/>
      <c r="T996" s="47"/>
    </row>
    <row r="997" spans="1:20">
      <c r="A997" s="44" t="s">
        <v>7187</v>
      </c>
      <c r="B997" s="44"/>
      <c r="C997" s="45" t="s">
        <v>7188</v>
      </c>
      <c r="D997" s="44" t="s">
        <v>1414</v>
      </c>
      <c r="E997" s="44" t="s">
        <v>1460</v>
      </c>
      <c r="F997" s="51">
        <v>41457.382442858798</v>
      </c>
      <c r="G997" s="44" t="s">
        <v>1663</v>
      </c>
      <c r="H997" s="44" t="s">
        <v>7189</v>
      </c>
      <c r="I997" s="46"/>
      <c r="J997" s="46"/>
      <c r="K997" s="46"/>
      <c r="L997" s="46"/>
      <c r="M997" s="46"/>
      <c r="N997" s="46"/>
      <c r="O997" s="44"/>
      <c r="P997" s="44"/>
      <c r="Q997" s="44" t="s">
        <v>1463</v>
      </c>
      <c r="R997" s="44" t="s">
        <v>1463</v>
      </c>
      <c r="S997" s="43"/>
      <c r="T997" s="44"/>
    </row>
    <row r="998" spans="1:20" ht="26.45">
      <c r="A998" s="47" t="s">
        <v>7190</v>
      </c>
      <c r="B998" s="47" t="s">
        <v>7191</v>
      </c>
      <c r="C998" s="48" t="s">
        <v>7192</v>
      </c>
      <c r="D998" s="47" t="s">
        <v>1425</v>
      </c>
      <c r="E998" s="47" t="s">
        <v>1481</v>
      </c>
      <c r="F998" s="47"/>
      <c r="G998" s="47" t="s">
        <v>1490</v>
      </c>
      <c r="H998" s="47" t="s">
        <v>7193</v>
      </c>
      <c r="I998" s="50" t="s">
        <v>7194</v>
      </c>
      <c r="J998" s="50" t="s">
        <v>7195</v>
      </c>
      <c r="K998" s="50" t="s">
        <v>2112</v>
      </c>
      <c r="L998" s="50" t="s">
        <v>1474</v>
      </c>
      <c r="M998" s="50" t="s">
        <v>4095</v>
      </c>
      <c r="N998" s="50" t="s">
        <v>1629</v>
      </c>
      <c r="O998" s="47" t="s">
        <v>7196</v>
      </c>
      <c r="P998" s="47"/>
      <c r="Q998" s="47" t="s">
        <v>1463</v>
      </c>
      <c r="R998" s="47" t="s">
        <v>1463</v>
      </c>
      <c r="S998" s="43"/>
      <c r="T998" s="49">
        <v>43886</v>
      </c>
    </row>
    <row r="999" spans="1:20" ht="26.45">
      <c r="A999" s="44" t="s">
        <v>7197</v>
      </c>
      <c r="B999" s="44" t="s">
        <v>7198</v>
      </c>
      <c r="C999" s="45" t="s">
        <v>7199</v>
      </c>
      <c r="D999" s="44" t="s">
        <v>1436</v>
      </c>
      <c r="E999" s="44" t="s">
        <v>1460</v>
      </c>
      <c r="F999" s="51">
        <v>44510.798920405097</v>
      </c>
      <c r="G999" s="44" t="s">
        <v>1663</v>
      </c>
      <c r="H999" s="44" t="s">
        <v>7200</v>
      </c>
      <c r="I999" s="46" t="s">
        <v>7201</v>
      </c>
      <c r="J999" s="46" t="s">
        <v>7202</v>
      </c>
      <c r="K999" s="46" t="s">
        <v>5095</v>
      </c>
      <c r="L999" s="46" t="s">
        <v>1504</v>
      </c>
      <c r="M999" s="46" t="s">
        <v>7203</v>
      </c>
      <c r="N999" s="46" t="s">
        <v>1629</v>
      </c>
      <c r="O999" s="44" t="s">
        <v>7204</v>
      </c>
      <c r="P999" s="44"/>
      <c r="Q999" s="44" t="s">
        <v>1463</v>
      </c>
      <c r="R999" s="44" t="s">
        <v>1463</v>
      </c>
      <c r="S999" s="43"/>
      <c r="T999" s="51">
        <v>44840</v>
      </c>
    </row>
    <row r="1000" spans="1:20" ht="26.45">
      <c r="A1000" s="47" t="s">
        <v>393</v>
      </c>
      <c r="B1000" s="47" t="s">
        <v>7205</v>
      </c>
      <c r="C1000" s="48" t="s">
        <v>1156</v>
      </c>
      <c r="D1000" s="47" t="s">
        <v>1410</v>
      </c>
      <c r="E1000" s="47" t="s">
        <v>1481</v>
      </c>
      <c r="F1000" s="47"/>
      <c r="G1000" s="47" t="s">
        <v>1687</v>
      </c>
      <c r="H1000" s="47" t="s">
        <v>7206</v>
      </c>
      <c r="I1000" s="50" t="s">
        <v>7207</v>
      </c>
      <c r="J1000" s="50" t="s">
        <v>7208</v>
      </c>
      <c r="K1000" s="50" t="s">
        <v>7209</v>
      </c>
      <c r="L1000" s="50" t="s">
        <v>1504</v>
      </c>
      <c r="M1000" s="50" t="s">
        <v>7210</v>
      </c>
      <c r="N1000" s="50" t="s">
        <v>1641</v>
      </c>
      <c r="O1000" s="47" t="s">
        <v>7211</v>
      </c>
      <c r="P1000" s="47" t="s">
        <v>7212</v>
      </c>
      <c r="Q1000" s="47" t="s">
        <v>1695</v>
      </c>
      <c r="R1000" s="47" t="s">
        <v>1463</v>
      </c>
      <c r="S1000" s="43"/>
      <c r="T1000" s="49">
        <v>45302</v>
      </c>
    </row>
    <row r="1001" spans="1:20" ht="26.45">
      <c r="A1001" s="44" t="s">
        <v>394</v>
      </c>
      <c r="B1001" s="44" t="s">
        <v>7213</v>
      </c>
      <c r="C1001" s="45" t="s">
        <v>1157</v>
      </c>
      <c r="D1001" s="44" t="s">
        <v>1424</v>
      </c>
      <c r="E1001" s="44" t="s">
        <v>1481</v>
      </c>
      <c r="F1001" s="44"/>
      <c r="G1001" s="44" t="s">
        <v>1687</v>
      </c>
      <c r="H1001" s="44" t="s">
        <v>7214</v>
      </c>
      <c r="I1001" s="46" t="s">
        <v>7215</v>
      </c>
      <c r="J1001" s="46" t="s">
        <v>7216</v>
      </c>
      <c r="K1001" s="46" t="s">
        <v>7217</v>
      </c>
      <c r="L1001" s="46" t="s">
        <v>1474</v>
      </c>
      <c r="M1001" s="46" t="s">
        <v>7218</v>
      </c>
      <c r="N1001" s="46" t="s">
        <v>1531</v>
      </c>
      <c r="O1001" s="44" t="s">
        <v>7219</v>
      </c>
      <c r="P1001" s="44" t="s">
        <v>7220</v>
      </c>
      <c r="Q1001" s="44" t="s">
        <v>1695</v>
      </c>
      <c r="R1001" s="44" t="s">
        <v>1463</v>
      </c>
      <c r="S1001" s="43"/>
      <c r="T1001" s="51">
        <v>45386</v>
      </c>
    </row>
    <row r="1002" spans="1:20" ht="26.45">
      <c r="A1002" s="47" t="s">
        <v>395</v>
      </c>
      <c r="B1002" s="47" t="s">
        <v>7221</v>
      </c>
      <c r="C1002" s="48" t="s">
        <v>1158</v>
      </c>
      <c r="D1002" s="47" t="s">
        <v>1410</v>
      </c>
      <c r="E1002" s="47" t="s">
        <v>1481</v>
      </c>
      <c r="F1002" s="47"/>
      <c r="G1002" s="47" t="s">
        <v>1687</v>
      </c>
      <c r="H1002" s="47" t="s">
        <v>7222</v>
      </c>
      <c r="I1002" s="50" t="s">
        <v>7223</v>
      </c>
      <c r="J1002" s="50" t="s">
        <v>7224</v>
      </c>
      <c r="K1002" s="50" t="s">
        <v>7225</v>
      </c>
      <c r="L1002" s="50" t="s">
        <v>2117</v>
      </c>
      <c r="M1002" s="50" t="s">
        <v>7226</v>
      </c>
      <c r="N1002" s="50" t="s">
        <v>1641</v>
      </c>
      <c r="O1002" s="47" t="s">
        <v>7227</v>
      </c>
      <c r="P1002" s="47" t="s">
        <v>7228</v>
      </c>
      <c r="Q1002" s="47" t="s">
        <v>1695</v>
      </c>
      <c r="R1002" s="47" t="s">
        <v>1463</v>
      </c>
      <c r="S1002" s="43"/>
      <c r="T1002" s="49">
        <v>45677</v>
      </c>
    </row>
    <row r="1003" spans="1:20" ht="26.45">
      <c r="A1003" s="44" t="s">
        <v>7229</v>
      </c>
      <c r="B1003" s="44" t="s">
        <v>7230</v>
      </c>
      <c r="C1003" s="45" t="s">
        <v>7231</v>
      </c>
      <c r="D1003" s="44" t="s">
        <v>1414</v>
      </c>
      <c r="E1003" s="44" t="s">
        <v>1481</v>
      </c>
      <c r="F1003" s="44"/>
      <c r="G1003" s="44" t="s">
        <v>1687</v>
      </c>
      <c r="H1003" s="44" t="s">
        <v>7232</v>
      </c>
      <c r="I1003" s="46" t="s">
        <v>7233</v>
      </c>
      <c r="J1003" s="46" t="s">
        <v>7234</v>
      </c>
      <c r="K1003" s="46" t="s">
        <v>1484</v>
      </c>
      <c r="L1003" s="46" t="s">
        <v>2117</v>
      </c>
      <c r="M1003" s="46" t="s">
        <v>6455</v>
      </c>
      <c r="N1003" s="46" t="s">
        <v>1629</v>
      </c>
      <c r="O1003" s="44" t="s">
        <v>3988</v>
      </c>
      <c r="P1003" s="44" t="s">
        <v>7235</v>
      </c>
      <c r="Q1003" s="44" t="s">
        <v>1695</v>
      </c>
      <c r="R1003" s="44" t="s">
        <v>1463</v>
      </c>
      <c r="S1003" s="43"/>
      <c r="T1003" s="51">
        <v>44741</v>
      </c>
    </row>
    <row r="1004" spans="1:20">
      <c r="A1004" s="47" t="s">
        <v>7236</v>
      </c>
      <c r="B1004" s="47" t="s">
        <v>7237</v>
      </c>
      <c r="C1004" s="48" t="s">
        <v>7238</v>
      </c>
      <c r="D1004" s="47" t="s">
        <v>1419</v>
      </c>
      <c r="E1004" s="47" t="s">
        <v>1481</v>
      </c>
      <c r="F1004" s="47"/>
      <c r="G1004" s="47" t="s">
        <v>1461</v>
      </c>
      <c r="H1004" s="47"/>
      <c r="I1004" s="50"/>
      <c r="J1004" s="50"/>
      <c r="K1004" s="50"/>
      <c r="L1004" s="50"/>
      <c r="M1004" s="50"/>
      <c r="N1004" s="50"/>
      <c r="O1004" s="47"/>
      <c r="P1004" s="47"/>
      <c r="Q1004" s="47" t="s">
        <v>1463</v>
      </c>
      <c r="R1004" s="47" t="s">
        <v>1463</v>
      </c>
      <c r="S1004" s="43"/>
      <c r="T1004" s="47"/>
    </row>
    <row r="1005" spans="1:20" ht="26.45">
      <c r="A1005" s="44" t="s">
        <v>7239</v>
      </c>
      <c r="B1005" s="44" t="s">
        <v>7240</v>
      </c>
      <c r="C1005" s="45" t="s">
        <v>7241</v>
      </c>
      <c r="D1005" s="44" t="s">
        <v>1419</v>
      </c>
      <c r="E1005" s="44" t="s">
        <v>1481</v>
      </c>
      <c r="F1005" s="44"/>
      <c r="G1005" s="44" t="s">
        <v>1490</v>
      </c>
      <c r="H1005" s="44" t="s">
        <v>7242</v>
      </c>
      <c r="I1005" s="46" t="s">
        <v>7241</v>
      </c>
      <c r="J1005" s="46" t="s">
        <v>7243</v>
      </c>
      <c r="K1005" s="46" t="s">
        <v>1523</v>
      </c>
      <c r="L1005" s="46" t="s">
        <v>1504</v>
      </c>
      <c r="M1005" s="46" t="s">
        <v>7244</v>
      </c>
      <c r="N1005" s="46" t="s">
        <v>1495</v>
      </c>
      <c r="O1005" s="44" t="s">
        <v>7245</v>
      </c>
      <c r="P1005" s="44"/>
      <c r="Q1005" s="44" t="s">
        <v>1463</v>
      </c>
      <c r="R1005" s="44" t="s">
        <v>1463</v>
      </c>
      <c r="S1005" s="43"/>
      <c r="T1005" s="51">
        <v>42849</v>
      </c>
    </row>
    <row r="1006" spans="1:20" ht="26.45">
      <c r="A1006" s="47" t="s">
        <v>396</v>
      </c>
      <c r="B1006" s="47" t="s">
        <v>7246</v>
      </c>
      <c r="C1006" s="48" t="s">
        <v>1159</v>
      </c>
      <c r="D1006" s="47" t="s">
        <v>1419</v>
      </c>
      <c r="E1006" s="47" t="s">
        <v>1481</v>
      </c>
      <c r="F1006" s="47"/>
      <c r="G1006" s="47" t="s">
        <v>1466</v>
      </c>
      <c r="H1006" s="47" t="s">
        <v>7247</v>
      </c>
      <c r="I1006" s="50" t="s">
        <v>7248</v>
      </c>
      <c r="J1006" s="50" t="s">
        <v>7249</v>
      </c>
      <c r="K1006" s="50" t="s">
        <v>1493</v>
      </c>
      <c r="L1006" s="50" t="s">
        <v>1504</v>
      </c>
      <c r="M1006" s="50" t="s">
        <v>7250</v>
      </c>
      <c r="N1006" s="50" t="s">
        <v>1729</v>
      </c>
      <c r="O1006" s="47" t="s">
        <v>7251</v>
      </c>
      <c r="P1006" s="47" t="s">
        <v>7252</v>
      </c>
      <c r="Q1006" s="47" t="s">
        <v>1463</v>
      </c>
      <c r="R1006" s="47" t="s">
        <v>1463</v>
      </c>
      <c r="S1006" s="43"/>
      <c r="T1006" s="49">
        <v>45342</v>
      </c>
    </row>
    <row r="1007" spans="1:20" ht="26.45">
      <c r="A1007" s="44" t="s">
        <v>397</v>
      </c>
      <c r="B1007" s="44" t="s">
        <v>7253</v>
      </c>
      <c r="C1007" s="45" t="s">
        <v>1160</v>
      </c>
      <c r="D1007" s="44" t="s">
        <v>1419</v>
      </c>
      <c r="E1007" s="44" t="s">
        <v>1481</v>
      </c>
      <c r="F1007" s="44"/>
      <c r="G1007" s="44" t="s">
        <v>1466</v>
      </c>
      <c r="H1007" s="44" t="s">
        <v>7254</v>
      </c>
      <c r="I1007" s="46" t="s">
        <v>7255</v>
      </c>
      <c r="J1007" s="46" t="s">
        <v>7256</v>
      </c>
      <c r="K1007" s="46" t="s">
        <v>1493</v>
      </c>
      <c r="L1007" s="46" t="s">
        <v>1504</v>
      </c>
      <c r="M1007" s="46" t="s">
        <v>7250</v>
      </c>
      <c r="N1007" s="46" t="s">
        <v>1729</v>
      </c>
      <c r="O1007" s="44" t="s">
        <v>7257</v>
      </c>
      <c r="P1007" s="44" t="s">
        <v>7258</v>
      </c>
      <c r="Q1007" s="44" t="s">
        <v>1463</v>
      </c>
      <c r="R1007" s="44" t="s">
        <v>1463</v>
      </c>
      <c r="S1007" s="43"/>
      <c r="T1007" s="51">
        <v>45342</v>
      </c>
    </row>
    <row r="1008" spans="1:20" ht="26.45">
      <c r="A1008" s="47" t="s">
        <v>7259</v>
      </c>
      <c r="B1008" s="47"/>
      <c r="C1008" s="48" t="s">
        <v>7260</v>
      </c>
      <c r="D1008" s="47" t="s">
        <v>1419</v>
      </c>
      <c r="E1008" s="47" t="s">
        <v>1460</v>
      </c>
      <c r="F1008" s="49">
        <v>41457.382442708302</v>
      </c>
      <c r="G1008" s="47" t="s">
        <v>1466</v>
      </c>
      <c r="H1008" s="47"/>
      <c r="I1008" s="50"/>
      <c r="J1008" s="50"/>
      <c r="K1008" s="50"/>
      <c r="L1008" s="50"/>
      <c r="M1008" s="50"/>
      <c r="N1008" s="50"/>
      <c r="O1008" s="47"/>
      <c r="P1008" s="47"/>
      <c r="Q1008" s="47" t="s">
        <v>1463</v>
      </c>
      <c r="R1008" s="47" t="s">
        <v>1463</v>
      </c>
      <c r="S1008" s="43"/>
      <c r="T1008" s="47"/>
    </row>
    <row r="1009" spans="1:20">
      <c r="A1009" s="44" t="s">
        <v>7261</v>
      </c>
      <c r="B1009" s="44" t="s">
        <v>7262</v>
      </c>
      <c r="C1009" s="45" t="s">
        <v>7263</v>
      </c>
      <c r="D1009" s="44" t="s">
        <v>1419</v>
      </c>
      <c r="E1009" s="44" t="s">
        <v>1481</v>
      </c>
      <c r="F1009" s="44"/>
      <c r="G1009" s="44" t="s">
        <v>1618</v>
      </c>
      <c r="H1009" s="44" t="s">
        <v>7264</v>
      </c>
      <c r="I1009" s="46" t="s">
        <v>7263</v>
      </c>
      <c r="J1009" s="46" t="s">
        <v>7265</v>
      </c>
      <c r="K1009" s="46" t="s">
        <v>1523</v>
      </c>
      <c r="L1009" s="46" t="s">
        <v>1504</v>
      </c>
      <c r="M1009" s="46" t="s">
        <v>7266</v>
      </c>
      <c r="N1009" s="46" t="s">
        <v>1495</v>
      </c>
      <c r="O1009" s="44" t="s">
        <v>7267</v>
      </c>
      <c r="P1009" s="44"/>
      <c r="Q1009" s="44" t="s">
        <v>1463</v>
      </c>
      <c r="R1009" s="44" t="s">
        <v>1463</v>
      </c>
      <c r="S1009" s="43"/>
      <c r="T1009" s="51">
        <v>43578</v>
      </c>
    </row>
    <row r="1010" spans="1:20">
      <c r="A1010" s="47" t="s">
        <v>7268</v>
      </c>
      <c r="B1010" s="47"/>
      <c r="C1010" s="48" t="s">
        <v>7269</v>
      </c>
      <c r="D1010" s="47" t="s">
        <v>1424</v>
      </c>
      <c r="E1010" s="47" t="s">
        <v>1460</v>
      </c>
      <c r="F1010" s="49">
        <v>41457.382441817099</v>
      </c>
      <c r="G1010" s="47" t="s">
        <v>1466</v>
      </c>
      <c r="H1010" s="47"/>
      <c r="I1010" s="50"/>
      <c r="J1010" s="50"/>
      <c r="K1010" s="50"/>
      <c r="L1010" s="50"/>
      <c r="M1010" s="50"/>
      <c r="N1010" s="50"/>
      <c r="O1010" s="47"/>
      <c r="P1010" s="47"/>
      <c r="Q1010" s="47" t="s">
        <v>1463</v>
      </c>
      <c r="R1010" s="47" t="s">
        <v>1463</v>
      </c>
      <c r="S1010" s="43"/>
      <c r="T1010" s="47"/>
    </row>
    <row r="1011" spans="1:20" ht="26.45">
      <c r="A1011" s="44" t="s">
        <v>398</v>
      </c>
      <c r="B1011" s="44" t="s">
        <v>7270</v>
      </c>
      <c r="C1011" s="45" t="s">
        <v>1161</v>
      </c>
      <c r="D1011" s="44" t="s">
        <v>1419</v>
      </c>
      <c r="E1011" s="44" t="s">
        <v>1481</v>
      </c>
      <c r="F1011" s="44"/>
      <c r="G1011" s="44" t="s">
        <v>1466</v>
      </c>
      <c r="H1011" s="44" t="s">
        <v>7271</v>
      </c>
      <c r="I1011" s="46" t="s">
        <v>7272</v>
      </c>
      <c r="J1011" s="46" t="s">
        <v>7273</v>
      </c>
      <c r="K1011" s="46" t="s">
        <v>7274</v>
      </c>
      <c r="L1011" s="46" t="s">
        <v>2117</v>
      </c>
      <c r="M1011" s="46" t="s">
        <v>7275</v>
      </c>
      <c r="N1011" s="46" t="s">
        <v>1531</v>
      </c>
      <c r="O1011" s="44" t="s">
        <v>7276</v>
      </c>
      <c r="P1011" s="44" t="s">
        <v>7277</v>
      </c>
      <c r="Q1011" s="44" t="s">
        <v>1463</v>
      </c>
      <c r="R1011" s="44" t="s">
        <v>1463</v>
      </c>
      <c r="S1011" s="43"/>
      <c r="T1011" s="51">
        <v>45608</v>
      </c>
    </row>
    <row r="1012" spans="1:20">
      <c r="A1012" s="47" t="s">
        <v>7278</v>
      </c>
      <c r="B1012" s="47"/>
      <c r="C1012" s="48" t="s">
        <v>7279</v>
      </c>
      <c r="D1012" s="47" t="s">
        <v>1419</v>
      </c>
      <c r="E1012" s="47" t="s">
        <v>1460</v>
      </c>
      <c r="F1012" s="49">
        <v>41457.382442048598</v>
      </c>
      <c r="G1012" s="47" t="s">
        <v>1466</v>
      </c>
      <c r="H1012" s="47"/>
      <c r="I1012" s="50"/>
      <c r="J1012" s="50"/>
      <c r="K1012" s="50"/>
      <c r="L1012" s="50"/>
      <c r="M1012" s="50"/>
      <c r="N1012" s="50"/>
      <c r="O1012" s="47"/>
      <c r="P1012" s="47"/>
      <c r="Q1012" s="47" t="s">
        <v>1463</v>
      </c>
      <c r="R1012" s="47" t="s">
        <v>1463</v>
      </c>
      <c r="S1012" s="43"/>
      <c r="T1012" s="47"/>
    </row>
    <row r="1013" spans="1:20" ht="26.45">
      <c r="A1013" s="44" t="s">
        <v>399</v>
      </c>
      <c r="B1013" s="44" t="s">
        <v>7280</v>
      </c>
      <c r="C1013" s="45" t="s">
        <v>1162</v>
      </c>
      <c r="D1013" s="44" t="s">
        <v>1419</v>
      </c>
      <c r="E1013" s="44" t="s">
        <v>1481</v>
      </c>
      <c r="F1013" s="44"/>
      <c r="G1013" s="44" t="s">
        <v>1466</v>
      </c>
      <c r="H1013" s="44" t="s">
        <v>7281</v>
      </c>
      <c r="I1013" s="46" t="s">
        <v>1162</v>
      </c>
      <c r="J1013" s="46" t="s">
        <v>7282</v>
      </c>
      <c r="K1013" s="46" t="s">
        <v>1493</v>
      </c>
      <c r="L1013" s="46" t="s">
        <v>1504</v>
      </c>
      <c r="M1013" s="46" t="s">
        <v>7283</v>
      </c>
      <c r="N1013" s="46" t="s">
        <v>1729</v>
      </c>
      <c r="O1013" s="44" t="s">
        <v>7284</v>
      </c>
      <c r="P1013" s="44" t="s">
        <v>7285</v>
      </c>
      <c r="Q1013" s="44" t="s">
        <v>1463</v>
      </c>
      <c r="R1013" s="44" t="s">
        <v>1463</v>
      </c>
      <c r="S1013" s="43"/>
      <c r="T1013" s="51">
        <v>45330</v>
      </c>
    </row>
    <row r="1014" spans="1:20" ht="26.45">
      <c r="A1014" s="47" t="s">
        <v>7286</v>
      </c>
      <c r="B1014" s="47" t="s">
        <v>7287</v>
      </c>
      <c r="C1014" s="48" t="s">
        <v>7288</v>
      </c>
      <c r="D1014" s="47" t="s">
        <v>1419</v>
      </c>
      <c r="E1014" s="47" t="s">
        <v>1481</v>
      </c>
      <c r="F1014" s="47"/>
      <c r="G1014" s="47" t="s">
        <v>1490</v>
      </c>
      <c r="H1014" s="47" t="s">
        <v>7289</v>
      </c>
      <c r="I1014" s="50" t="s">
        <v>7290</v>
      </c>
      <c r="J1014" s="50" t="s">
        <v>7291</v>
      </c>
      <c r="K1014" s="50" t="s">
        <v>1523</v>
      </c>
      <c r="L1014" s="50" t="s">
        <v>1504</v>
      </c>
      <c r="M1014" s="50" t="s">
        <v>7292</v>
      </c>
      <c r="N1014" s="50" t="s">
        <v>1495</v>
      </c>
      <c r="O1014" s="47" t="s">
        <v>7293</v>
      </c>
      <c r="P1014" s="47"/>
      <c r="Q1014" s="47" t="s">
        <v>1463</v>
      </c>
      <c r="R1014" s="47" t="s">
        <v>1463</v>
      </c>
      <c r="S1014" s="43"/>
      <c r="T1014" s="49">
        <v>43662</v>
      </c>
    </row>
    <row r="1015" spans="1:20" ht="26.45">
      <c r="A1015" s="44" t="s">
        <v>7294</v>
      </c>
      <c r="B1015" s="44" t="s">
        <v>7295</v>
      </c>
      <c r="C1015" s="45" t="s">
        <v>7296</v>
      </c>
      <c r="D1015" s="44" t="s">
        <v>1419</v>
      </c>
      <c r="E1015" s="44" t="s">
        <v>1481</v>
      </c>
      <c r="F1015" s="44"/>
      <c r="G1015" s="44" t="s">
        <v>1663</v>
      </c>
      <c r="H1015" s="44" t="s">
        <v>7297</v>
      </c>
      <c r="I1015" s="46" t="s">
        <v>7298</v>
      </c>
      <c r="J1015" s="46" t="s">
        <v>7299</v>
      </c>
      <c r="K1015" s="46" t="s">
        <v>2184</v>
      </c>
      <c r="L1015" s="46" t="s">
        <v>1504</v>
      </c>
      <c r="M1015" s="46" t="s">
        <v>7300</v>
      </c>
      <c r="N1015" s="46" t="s">
        <v>1516</v>
      </c>
      <c r="O1015" s="44" t="s">
        <v>7301</v>
      </c>
      <c r="P1015" s="44" t="s">
        <v>7302</v>
      </c>
      <c r="Q1015" s="44" t="s">
        <v>1463</v>
      </c>
      <c r="R1015" s="44" t="s">
        <v>1463</v>
      </c>
      <c r="S1015" s="43"/>
      <c r="T1015" s="51">
        <v>45672</v>
      </c>
    </row>
    <row r="1016" spans="1:20">
      <c r="A1016" s="47" t="s">
        <v>7303</v>
      </c>
      <c r="B1016" s="47" t="s">
        <v>7304</v>
      </c>
      <c r="C1016" s="48" t="s">
        <v>7305</v>
      </c>
      <c r="D1016" s="47" t="s">
        <v>1414</v>
      </c>
      <c r="E1016" s="47" t="s">
        <v>1460</v>
      </c>
      <c r="F1016" s="49">
        <v>43578.909889351897</v>
      </c>
      <c r="G1016" s="47" t="s">
        <v>1466</v>
      </c>
      <c r="H1016" s="47" t="s">
        <v>7306</v>
      </c>
      <c r="I1016" s="50" t="s">
        <v>7307</v>
      </c>
      <c r="J1016" s="50" t="s">
        <v>7308</v>
      </c>
      <c r="K1016" s="50" t="s">
        <v>1484</v>
      </c>
      <c r="L1016" s="50" t="s">
        <v>1504</v>
      </c>
      <c r="M1016" s="50" t="s">
        <v>7309</v>
      </c>
      <c r="N1016" s="50" t="s">
        <v>1531</v>
      </c>
      <c r="O1016" s="47" t="s">
        <v>7310</v>
      </c>
      <c r="P1016" s="47"/>
      <c r="Q1016" s="47" t="s">
        <v>1463</v>
      </c>
      <c r="R1016" s="47" t="s">
        <v>1463</v>
      </c>
      <c r="S1016" s="43"/>
      <c r="T1016" s="49">
        <v>43903</v>
      </c>
    </row>
    <row r="1017" spans="1:20">
      <c r="A1017" s="44" t="s">
        <v>7311</v>
      </c>
      <c r="B1017" s="44" t="s">
        <v>7312</v>
      </c>
      <c r="C1017" s="45" t="s">
        <v>7313</v>
      </c>
      <c r="D1017" s="44" t="s">
        <v>1419</v>
      </c>
      <c r="E1017" s="44" t="s">
        <v>1481</v>
      </c>
      <c r="F1017" s="44"/>
      <c r="G1017" s="44" t="s">
        <v>1461</v>
      </c>
      <c r="H1017" s="44"/>
      <c r="I1017" s="46"/>
      <c r="J1017" s="46"/>
      <c r="K1017" s="46"/>
      <c r="L1017" s="46"/>
      <c r="M1017" s="46"/>
      <c r="N1017" s="46"/>
      <c r="O1017" s="44"/>
      <c r="P1017" s="44"/>
      <c r="Q1017" s="44" t="s">
        <v>1463</v>
      </c>
      <c r="R1017" s="44" t="s">
        <v>1463</v>
      </c>
      <c r="S1017" s="43"/>
      <c r="T1017" s="44"/>
    </row>
    <row r="1018" spans="1:20" ht="26.45">
      <c r="A1018" s="47" t="s">
        <v>400</v>
      </c>
      <c r="B1018" s="47" t="s">
        <v>7314</v>
      </c>
      <c r="C1018" s="48" t="s">
        <v>1163</v>
      </c>
      <c r="D1018" s="47" t="s">
        <v>1419</v>
      </c>
      <c r="E1018" s="47" t="s">
        <v>1481</v>
      </c>
      <c r="F1018" s="47"/>
      <c r="G1018" s="47" t="s">
        <v>1687</v>
      </c>
      <c r="H1018" s="47" t="s">
        <v>7315</v>
      </c>
      <c r="I1018" s="50" t="s">
        <v>7316</v>
      </c>
      <c r="J1018" s="50" t="s">
        <v>7317</v>
      </c>
      <c r="K1018" s="50" t="s">
        <v>1493</v>
      </c>
      <c r="L1018" s="50" t="s">
        <v>1474</v>
      </c>
      <c r="M1018" s="50" t="s">
        <v>7318</v>
      </c>
      <c r="N1018" s="50" t="s">
        <v>1495</v>
      </c>
      <c r="O1018" s="47" t="s">
        <v>7319</v>
      </c>
      <c r="P1018" s="47" t="s">
        <v>7320</v>
      </c>
      <c r="Q1018" s="47" t="s">
        <v>1695</v>
      </c>
      <c r="R1018" s="47" t="s">
        <v>1463</v>
      </c>
      <c r="S1018" s="43"/>
      <c r="T1018" s="49">
        <v>45300</v>
      </c>
    </row>
    <row r="1019" spans="1:20" ht="39.6">
      <c r="A1019" s="44" t="s">
        <v>7321</v>
      </c>
      <c r="B1019" s="44" t="s">
        <v>7322</v>
      </c>
      <c r="C1019" s="45" t="s">
        <v>7323</v>
      </c>
      <c r="D1019" s="44" t="s">
        <v>1424</v>
      </c>
      <c r="E1019" s="44" t="s">
        <v>1481</v>
      </c>
      <c r="F1019" s="44"/>
      <c r="G1019" s="44" t="s">
        <v>1511</v>
      </c>
      <c r="H1019" s="44" t="s">
        <v>7324</v>
      </c>
      <c r="I1019" s="46" t="s">
        <v>7323</v>
      </c>
      <c r="J1019" s="46" t="s">
        <v>7325</v>
      </c>
      <c r="K1019" s="46" t="s">
        <v>7326</v>
      </c>
      <c r="L1019" s="46" t="s">
        <v>1504</v>
      </c>
      <c r="M1019" s="46" t="s">
        <v>7327</v>
      </c>
      <c r="N1019" s="46" t="s">
        <v>1641</v>
      </c>
      <c r="O1019" s="44" t="s">
        <v>7328</v>
      </c>
      <c r="P1019" s="44"/>
      <c r="Q1019" s="44" t="s">
        <v>1463</v>
      </c>
      <c r="R1019" s="44" t="s">
        <v>1463</v>
      </c>
      <c r="S1019" s="43"/>
      <c r="T1019" s="51">
        <v>43236</v>
      </c>
    </row>
    <row r="1020" spans="1:20">
      <c r="A1020" s="47" t="s">
        <v>7329</v>
      </c>
      <c r="B1020" s="47"/>
      <c r="C1020" s="48" t="s">
        <v>7330</v>
      </c>
      <c r="D1020" s="47" t="s">
        <v>1420</v>
      </c>
      <c r="E1020" s="47" t="s">
        <v>1460</v>
      </c>
      <c r="F1020" s="49">
        <v>41474.645793668999</v>
      </c>
      <c r="G1020" s="47" t="s">
        <v>1466</v>
      </c>
      <c r="H1020" s="47"/>
      <c r="I1020" s="50"/>
      <c r="J1020" s="50"/>
      <c r="K1020" s="50"/>
      <c r="L1020" s="50"/>
      <c r="M1020" s="50"/>
      <c r="N1020" s="50"/>
      <c r="O1020" s="47"/>
      <c r="P1020" s="47"/>
      <c r="Q1020" s="47" t="s">
        <v>1463</v>
      </c>
      <c r="R1020" s="47" t="s">
        <v>1463</v>
      </c>
      <c r="S1020" s="43"/>
      <c r="T1020" s="47"/>
    </row>
    <row r="1021" spans="1:20" ht="26.45">
      <c r="A1021" s="44" t="s">
        <v>401</v>
      </c>
      <c r="B1021" s="44" t="s">
        <v>7331</v>
      </c>
      <c r="C1021" s="45" t="s">
        <v>1164</v>
      </c>
      <c r="D1021" s="44" t="s">
        <v>1419</v>
      </c>
      <c r="E1021" s="44" t="s">
        <v>1481</v>
      </c>
      <c r="F1021" s="44"/>
      <c r="G1021" s="44" t="s">
        <v>1687</v>
      </c>
      <c r="H1021" s="44" t="s">
        <v>7332</v>
      </c>
      <c r="I1021" s="46" t="s">
        <v>7333</v>
      </c>
      <c r="J1021" s="46" t="s">
        <v>7334</v>
      </c>
      <c r="K1021" s="46" t="s">
        <v>1493</v>
      </c>
      <c r="L1021" s="46" t="s">
        <v>3139</v>
      </c>
      <c r="M1021" s="46" t="s">
        <v>7335</v>
      </c>
      <c r="N1021" s="46" t="s">
        <v>1629</v>
      </c>
      <c r="O1021" s="44" t="s">
        <v>7336</v>
      </c>
      <c r="P1021" s="44" t="s">
        <v>7337</v>
      </c>
      <c r="Q1021" s="44" t="s">
        <v>1695</v>
      </c>
      <c r="R1021" s="44" t="s">
        <v>1463</v>
      </c>
      <c r="S1021" s="43"/>
      <c r="T1021" s="51">
        <v>45623</v>
      </c>
    </row>
    <row r="1022" spans="1:20" ht="26.45">
      <c r="A1022" s="47" t="s">
        <v>402</v>
      </c>
      <c r="B1022" s="47" t="s">
        <v>7338</v>
      </c>
      <c r="C1022" s="48" t="s">
        <v>1165</v>
      </c>
      <c r="D1022" s="47" t="s">
        <v>1419</v>
      </c>
      <c r="E1022" s="47" t="s">
        <v>1481</v>
      </c>
      <c r="F1022" s="47"/>
      <c r="G1022" s="47" t="s">
        <v>1466</v>
      </c>
      <c r="H1022" s="47" t="s">
        <v>7339</v>
      </c>
      <c r="I1022" s="50" t="s">
        <v>1165</v>
      </c>
      <c r="J1022" s="50" t="s">
        <v>7340</v>
      </c>
      <c r="K1022" s="50" t="s">
        <v>2778</v>
      </c>
      <c r="L1022" s="50" t="s">
        <v>1474</v>
      </c>
      <c r="M1022" s="50" t="s">
        <v>7341</v>
      </c>
      <c r="N1022" s="50" t="s">
        <v>1516</v>
      </c>
      <c r="O1022" s="47" t="s">
        <v>7342</v>
      </c>
      <c r="P1022" s="47" t="s">
        <v>7343</v>
      </c>
      <c r="Q1022" s="47" t="s">
        <v>1463</v>
      </c>
      <c r="R1022" s="47" t="s">
        <v>1463</v>
      </c>
      <c r="S1022" s="43"/>
      <c r="T1022" s="49">
        <v>45481</v>
      </c>
    </row>
    <row r="1023" spans="1:20" ht="26.45">
      <c r="A1023" s="44" t="s">
        <v>403</v>
      </c>
      <c r="B1023" s="44" t="s">
        <v>7344</v>
      </c>
      <c r="C1023" s="45" t="s">
        <v>1166</v>
      </c>
      <c r="D1023" s="44" t="s">
        <v>1419</v>
      </c>
      <c r="E1023" s="44" t="s">
        <v>1481</v>
      </c>
      <c r="F1023" s="44"/>
      <c r="G1023" s="44" t="s">
        <v>1466</v>
      </c>
      <c r="H1023" s="44" t="s">
        <v>7345</v>
      </c>
      <c r="I1023" s="46" t="s">
        <v>7346</v>
      </c>
      <c r="J1023" s="46" t="s">
        <v>7347</v>
      </c>
      <c r="K1023" s="46" t="s">
        <v>3769</v>
      </c>
      <c r="L1023" s="46" t="s">
        <v>1504</v>
      </c>
      <c r="M1023" s="46" t="s">
        <v>7348</v>
      </c>
      <c r="N1023" s="46" t="s">
        <v>1729</v>
      </c>
      <c r="O1023" s="44" t="s">
        <v>7349</v>
      </c>
      <c r="P1023" s="44" t="s">
        <v>7350</v>
      </c>
      <c r="Q1023" s="44" t="s">
        <v>1463</v>
      </c>
      <c r="R1023" s="44" t="s">
        <v>1463</v>
      </c>
      <c r="S1023" s="43"/>
      <c r="T1023" s="51">
        <v>45496</v>
      </c>
    </row>
    <row r="1024" spans="1:20" ht="39.6">
      <c r="A1024" s="47" t="s">
        <v>7351</v>
      </c>
      <c r="B1024" s="47" t="s">
        <v>7352</v>
      </c>
      <c r="C1024" s="48" t="s">
        <v>7353</v>
      </c>
      <c r="D1024" s="47" t="s">
        <v>1424</v>
      </c>
      <c r="E1024" s="47" t="s">
        <v>1481</v>
      </c>
      <c r="F1024" s="47"/>
      <c r="G1024" s="47" t="s">
        <v>1511</v>
      </c>
      <c r="H1024" s="47" t="s">
        <v>7354</v>
      </c>
      <c r="I1024" s="50" t="s">
        <v>7353</v>
      </c>
      <c r="J1024" s="50" t="s">
        <v>7355</v>
      </c>
      <c r="K1024" s="50" t="s">
        <v>7356</v>
      </c>
      <c r="L1024" s="50" t="s">
        <v>1504</v>
      </c>
      <c r="M1024" s="50" t="s">
        <v>7357</v>
      </c>
      <c r="N1024" s="50"/>
      <c r="O1024" s="47" t="s">
        <v>7358</v>
      </c>
      <c r="P1024" s="47"/>
      <c r="Q1024" s="47" t="s">
        <v>1463</v>
      </c>
      <c r="R1024" s="47" t="s">
        <v>1463</v>
      </c>
      <c r="S1024" s="43"/>
      <c r="T1024" s="49">
        <v>44928</v>
      </c>
    </row>
    <row r="1025" spans="1:20" ht="26.45">
      <c r="A1025" s="44" t="s">
        <v>404</v>
      </c>
      <c r="B1025" s="44" t="s">
        <v>7359</v>
      </c>
      <c r="C1025" s="45" t="s">
        <v>1167</v>
      </c>
      <c r="D1025" s="44" t="s">
        <v>1424</v>
      </c>
      <c r="E1025" s="44" t="s">
        <v>1481</v>
      </c>
      <c r="F1025" s="44"/>
      <c r="G1025" s="44" t="s">
        <v>1687</v>
      </c>
      <c r="H1025" s="44" t="s">
        <v>7360</v>
      </c>
      <c r="I1025" s="46" t="s">
        <v>7361</v>
      </c>
      <c r="J1025" s="46" t="s">
        <v>7362</v>
      </c>
      <c r="K1025" s="46" t="s">
        <v>7363</v>
      </c>
      <c r="L1025" s="46" t="s">
        <v>1474</v>
      </c>
      <c r="M1025" s="46" t="s">
        <v>7364</v>
      </c>
      <c r="N1025" s="46" t="s">
        <v>1641</v>
      </c>
      <c r="O1025" s="44" t="s">
        <v>7365</v>
      </c>
      <c r="P1025" s="44" t="s">
        <v>7366</v>
      </c>
      <c r="Q1025" s="44" t="s">
        <v>1695</v>
      </c>
      <c r="R1025" s="44" t="s">
        <v>1463</v>
      </c>
      <c r="S1025" s="43"/>
      <c r="T1025" s="51">
        <v>45455</v>
      </c>
    </row>
    <row r="1026" spans="1:20" ht="26.45">
      <c r="A1026" s="47" t="s">
        <v>7367</v>
      </c>
      <c r="B1026" s="47" t="s">
        <v>7368</v>
      </c>
      <c r="C1026" s="48" t="s">
        <v>7369</v>
      </c>
      <c r="D1026" s="47" t="s">
        <v>1419</v>
      </c>
      <c r="E1026" s="47" t="s">
        <v>1481</v>
      </c>
      <c r="F1026" s="47"/>
      <c r="G1026" s="47" t="s">
        <v>1466</v>
      </c>
      <c r="H1026" s="47" t="s">
        <v>7370</v>
      </c>
      <c r="I1026" s="50" t="s">
        <v>7369</v>
      </c>
      <c r="J1026" s="50" t="s">
        <v>7371</v>
      </c>
      <c r="K1026" s="50" t="s">
        <v>7372</v>
      </c>
      <c r="L1026" s="50" t="s">
        <v>1504</v>
      </c>
      <c r="M1026" s="50" t="s">
        <v>7373</v>
      </c>
      <c r="N1026" s="50" t="s">
        <v>1525</v>
      </c>
      <c r="O1026" s="47" t="s">
        <v>7374</v>
      </c>
      <c r="P1026" s="47" t="s">
        <v>7375</v>
      </c>
      <c r="Q1026" s="47" t="s">
        <v>1463</v>
      </c>
      <c r="R1026" s="47" t="s">
        <v>1463</v>
      </c>
      <c r="S1026" s="43"/>
      <c r="T1026" s="49">
        <v>44998</v>
      </c>
    </row>
    <row r="1027" spans="1:20">
      <c r="A1027" s="44" t="s">
        <v>7376</v>
      </c>
      <c r="B1027" s="44"/>
      <c r="C1027" s="45" t="s">
        <v>7377</v>
      </c>
      <c r="D1027" s="44" t="s">
        <v>1428</v>
      </c>
      <c r="E1027" s="44" t="s">
        <v>1460</v>
      </c>
      <c r="F1027" s="51">
        <v>41584.970963622698</v>
      </c>
      <c r="G1027" s="44" t="s">
        <v>1687</v>
      </c>
      <c r="H1027" s="44"/>
      <c r="I1027" s="46"/>
      <c r="J1027" s="46"/>
      <c r="K1027" s="46"/>
      <c r="L1027" s="46"/>
      <c r="M1027" s="46"/>
      <c r="N1027" s="46"/>
      <c r="O1027" s="44"/>
      <c r="P1027" s="44"/>
      <c r="Q1027" s="44" t="s">
        <v>1695</v>
      </c>
      <c r="R1027" s="44" t="s">
        <v>1463</v>
      </c>
      <c r="S1027" s="43"/>
      <c r="T1027" s="44"/>
    </row>
    <row r="1028" spans="1:20" ht="26.45">
      <c r="A1028" s="47" t="s">
        <v>7378</v>
      </c>
      <c r="B1028" s="47" t="s">
        <v>7379</v>
      </c>
      <c r="C1028" s="48" t="s">
        <v>7380</v>
      </c>
      <c r="D1028" s="47" t="s">
        <v>1419</v>
      </c>
      <c r="E1028" s="47" t="s">
        <v>1481</v>
      </c>
      <c r="F1028" s="47"/>
      <c r="G1028" s="47" t="s">
        <v>1490</v>
      </c>
      <c r="H1028" s="47" t="s">
        <v>7381</v>
      </c>
      <c r="I1028" s="50" t="s">
        <v>7380</v>
      </c>
      <c r="J1028" s="50" t="s">
        <v>7382</v>
      </c>
      <c r="K1028" s="50" t="s">
        <v>1523</v>
      </c>
      <c r="L1028" s="50" t="s">
        <v>1504</v>
      </c>
      <c r="M1028" s="50" t="s">
        <v>7383</v>
      </c>
      <c r="N1028" s="50" t="s">
        <v>1729</v>
      </c>
      <c r="O1028" s="47"/>
      <c r="P1028" s="47"/>
      <c r="Q1028" s="47" t="s">
        <v>1463</v>
      </c>
      <c r="R1028" s="47" t="s">
        <v>1463</v>
      </c>
      <c r="S1028" s="43"/>
      <c r="T1028" s="47"/>
    </row>
    <row r="1029" spans="1:20" ht="26.45">
      <c r="A1029" s="44" t="s">
        <v>7384</v>
      </c>
      <c r="B1029" s="44"/>
      <c r="C1029" s="45" t="s">
        <v>7385</v>
      </c>
      <c r="D1029" s="44" t="s">
        <v>1419</v>
      </c>
      <c r="E1029" s="44" t="s">
        <v>1460</v>
      </c>
      <c r="F1029" s="51">
        <v>42452.690073923601</v>
      </c>
      <c r="G1029" s="44" t="s">
        <v>1466</v>
      </c>
      <c r="H1029" s="44"/>
      <c r="I1029" s="46"/>
      <c r="J1029" s="46"/>
      <c r="K1029" s="46"/>
      <c r="L1029" s="46"/>
      <c r="M1029" s="46"/>
      <c r="N1029" s="46"/>
      <c r="O1029" s="44"/>
      <c r="P1029" s="44"/>
      <c r="Q1029" s="44" t="s">
        <v>1463</v>
      </c>
      <c r="R1029" s="44" t="s">
        <v>1463</v>
      </c>
      <c r="S1029" s="43"/>
      <c r="T1029" s="44"/>
    </row>
    <row r="1030" spans="1:20" ht="26.45">
      <c r="A1030" s="47" t="s">
        <v>405</v>
      </c>
      <c r="B1030" s="47" t="s">
        <v>7386</v>
      </c>
      <c r="C1030" s="48" t="s">
        <v>1168</v>
      </c>
      <c r="D1030" s="47" t="s">
        <v>1410</v>
      </c>
      <c r="E1030" s="47" t="s">
        <v>1481</v>
      </c>
      <c r="F1030" s="47"/>
      <c r="G1030" s="47" t="s">
        <v>1687</v>
      </c>
      <c r="H1030" s="47" t="s">
        <v>7387</v>
      </c>
      <c r="I1030" s="50" t="s">
        <v>7388</v>
      </c>
      <c r="J1030" s="50" t="s">
        <v>7389</v>
      </c>
      <c r="K1030" s="50" t="s">
        <v>7390</v>
      </c>
      <c r="L1030" s="50" t="s">
        <v>1504</v>
      </c>
      <c r="M1030" s="50" t="s">
        <v>7391</v>
      </c>
      <c r="N1030" s="50" t="s">
        <v>1531</v>
      </c>
      <c r="O1030" s="47" t="s">
        <v>7392</v>
      </c>
      <c r="P1030" s="47" t="s">
        <v>7393</v>
      </c>
      <c r="Q1030" s="47" t="s">
        <v>1695</v>
      </c>
      <c r="R1030" s="47" t="s">
        <v>1463</v>
      </c>
      <c r="S1030" s="43"/>
      <c r="T1030" s="49">
        <v>45646</v>
      </c>
    </row>
    <row r="1031" spans="1:20" ht="26.45">
      <c r="A1031" s="44" t="s">
        <v>406</v>
      </c>
      <c r="B1031" s="44" t="s">
        <v>7394</v>
      </c>
      <c r="C1031" s="45" t="s">
        <v>1169</v>
      </c>
      <c r="D1031" s="44" t="s">
        <v>1419</v>
      </c>
      <c r="E1031" s="44" t="s">
        <v>1481</v>
      </c>
      <c r="F1031" s="44"/>
      <c r="G1031" s="44" t="s">
        <v>1687</v>
      </c>
      <c r="H1031" s="44" t="s">
        <v>7395</v>
      </c>
      <c r="I1031" s="46" t="s">
        <v>1169</v>
      </c>
      <c r="J1031" s="46" t="s">
        <v>7396</v>
      </c>
      <c r="K1031" s="46" t="s">
        <v>7397</v>
      </c>
      <c r="L1031" s="46" t="s">
        <v>1504</v>
      </c>
      <c r="M1031" s="46" t="s">
        <v>7398</v>
      </c>
      <c r="N1031" s="46" t="s">
        <v>1516</v>
      </c>
      <c r="O1031" s="44" t="s">
        <v>7399</v>
      </c>
      <c r="P1031" s="44" t="s">
        <v>7400</v>
      </c>
      <c r="Q1031" s="44" t="s">
        <v>1695</v>
      </c>
      <c r="R1031" s="44" t="s">
        <v>1463</v>
      </c>
      <c r="S1031" s="43"/>
      <c r="T1031" s="51">
        <v>45583</v>
      </c>
    </row>
    <row r="1032" spans="1:20" ht="26.45">
      <c r="A1032" s="47" t="s">
        <v>407</v>
      </c>
      <c r="B1032" s="47" t="s">
        <v>7401</v>
      </c>
      <c r="C1032" s="48" t="s">
        <v>1170</v>
      </c>
      <c r="D1032" s="47" t="s">
        <v>1433</v>
      </c>
      <c r="E1032" s="47" t="s">
        <v>1481</v>
      </c>
      <c r="F1032" s="47"/>
      <c r="G1032" s="47" t="s">
        <v>1687</v>
      </c>
      <c r="H1032" s="47" t="s">
        <v>7402</v>
      </c>
      <c r="I1032" s="50" t="s">
        <v>7403</v>
      </c>
      <c r="J1032" s="50" t="s">
        <v>7404</v>
      </c>
      <c r="K1032" s="50" t="s">
        <v>4512</v>
      </c>
      <c r="L1032" s="50" t="s">
        <v>1474</v>
      </c>
      <c r="M1032" s="50" t="s">
        <v>7405</v>
      </c>
      <c r="N1032" s="50" t="s">
        <v>1525</v>
      </c>
      <c r="O1032" s="47" t="s">
        <v>7406</v>
      </c>
      <c r="P1032" s="47" t="s">
        <v>7407</v>
      </c>
      <c r="Q1032" s="47" t="s">
        <v>1695</v>
      </c>
      <c r="R1032" s="47" t="s">
        <v>1463</v>
      </c>
      <c r="S1032" s="43"/>
      <c r="T1032" s="49">
        <v>45323</v>
      </c>
    </row>
    <row r="1033" spans="1:20">
      <c r="A1033" s="44" t="s">
        <v>7408</v>
      </c>
      <c r="B1033" s="44" t="s">
        <v>7409</v>
      </c>
      <c r="C1033" s="45" t="s">
        <v>7410</v>
      </c>
      <c r="D1033" s="44" t="s">
        <v>1419</v>
      </c>
      <c r="E1033" s="44" t="s">
        <v>1481</v>
      </c>
      <c r="F1033" s="44"/>
      <c r="G1033" s="44" t="s">
        <v>1461</v>
      </c>
      <c r="H1033" s="44"/>
      <c r="I1033" s="46" t="s">
        <v>7410</v>
      </c>
      <c r="J1033" s="46"/>
      <c r="K1033" s="46"/>
      <c r="L1033" s="46"/>
      <c r="M1033" s="46"/>
      <c r="N1033" s="46"/>
      <c r="O1033" s="44" t="s">
        <v>7411</v>
      </c>
      <c r="P1033" s="44"/>
      <c r="Q1033" s="44" t="s">
        <v>1463</v>
      </c>
      <c r="R1033" s="44" t="s">
        <v>1463</v>
      </c>
      <c r="S1033" s="43"/>
      <c r="T1033" s="44"/>
    </row>
    <row r="1034" spans="1:20" ht="26.45">
      <c r="A1034" s="47" t="s">
        <v>408</v>
      </c>
      <c r="B1034" s="47" t="s">
        <v>7412</v>
      </c>
      <c r="C1034" s="48" t="s">
        <v>1171</v>
      </c>
      <c r="D1034" s="47" t="s">
        <v>1419</v>
      </c>
      <c r="E1034" s="47" t="s">
        <v>1481</v>
      </c>
      <c r="F1034" s="47"/>
      <c r="G1034" s="47" t="s">
        <v>1466</v>
      </c>
      <c r="H1034" s="47" t="s">
        <v>7413</v>
      </c>
      <c r="I1034" s="50" t="s">
        <v>7414</v>
      </c>
      <c r="J1034" s="50" t="s">
        <v>7415</v>
      </c>
      <c r="K1034" s="50" t="s">
        <v>1493</v>
      </c>
      <c r="L1034" s="50" t="s">
        <v>1504</v>
      </c>
      <c r="M1034" s="50" t="s">
        <v>7416</v>
      </c>
      <c r="N1034" s="50" t="s">
        <v>1525</v>
      </c>
      <c r="O1034" s="47" t="s">
        <v>7417</v>
      </c>
      <c r="P1034" s="47" t="s">
        <v>7418</v>
      </c>
      <c r="Q1034" s="47" t="s">
        <v>1463</v>
      </c>
      <c r="R1034" s="47" t="s">
        <v>1463</v>
      </c>
      <c r="S1034" s="43"/>
      <c r="T1034" s="49">
        <v>45317</v>
      </c>
    </row>
    <row r="1035" spans="1:20" ht="26.45">
      <c r="A1035" s="44" t="s">
        <v>7419</v>
      </c>
      <c r="B1035" s="44" t="s">
        <v>7420</v>
      </c>
      <c r="C1035" s="45" t="s">
        <v>7421</v>
      </c>
      <c r="D1035" s="44" t="s">
        <v>1419</v>
      </c>
      <c r="E1035" s="44" t="s">
        <v>1481</v>
      </c>
      <c r="F1035" s="44"/>
      <c r="G1035" s="44" t="s">
        <v>1490</v>
      </c>
      <c r="H1035" s="44" t="s">
        <v>7422</v>
      </c>
      <c r="I1035" s="46" t="s">
        <v>7423</v>
      </c>
      <c r="J1035" s="46" t="s">
        <v>7424</v>
      </c>
      <c r="K1035" s="46" t="s">
        <v>3769</v>
      </c>
      <c r="L1035" s="46" t="s">
        <v>1504</v>
      </c>
      <c r="M1035" s="46" t="s">
        <v>7425</v>
      </c>
      <c r="N1035" s="46" t="s">
        <v>1516</v>
      </c>
      <c r="O1035" s="44"/>
      <c r="P1035" s="44"/>
      <c r="Q1035" s="44" t="s">
        <v>1463</v>
      </c>
      <c r="R1035" s="44" t="s">
        <v>1463</v>
      </c>
      <c r="S1035" s="43"/>
      <c r="T1035" s="51">
        <v>45453</v>
      </c>
    </row>
    <row r="1036" spans="1:20" ht="26.45">
      <c r="A1036" s="47" t="s">
        <v>409</v>
      </c>
      <c r="B1036" s="47" t="s">
        <v>7426</v>
      </c>
      <c r="C1036" s="48" t="s">
        <v>1172</v>
      </c>
      <c r="D1036" s="47" t="s">
        <v>1414</v>
      </c>
      <c r="E1036" s="47" t="s">
        <v>1481</v>
      </c>
      <c r="F1036" s="47"/>
      <c r="G1036" s="47" t="s">
        <v>1687</v>
      </c>
      <c r="H1036" s="47" t="s">
        <v>7427</v>
      </c>
      <c r="I1036" s="50" t="s">
        <v>7428</v>
      </c>
      <c r="J1036" s="50" t="s">
        <v>7429</v>
      </c>
      <c r="K1036" s="50" t="s">
        <v>4572</v>
      </c>
      <c r="L1036" s="50" t="s">
        <v>1504</v>
      </c>
      <c r="M1036" s="50" t="s">
        <v>7430</v>
      </c>
      <c r="N1036" s="50" t="s">
        <v>1495</v>
      </c>
      <c r="O1036" s="47" t="s">
        <v>7431</v>
      </c>
      <c r="P1036" s="47" t="s">
        <v>7432</v>
      </c>
      <c r="Q1036" s="47" t="s">
        <v>1695</v>
      </c>
      <c r="R1036" s="47" t="s">
        <v>1463</v>
      </c>
      <c r="S1036" s="43"/>
      <c r="T1036" s="49">
        <v>45596</v>
      </c>
    </row>
    <row r="1037" spans="1:20" ht="26.45">
      <c r="A1037" s="44" t="s">
        <v>410</v>
      </c>
      <c r="B1037" s="44" t="s">
        <v>7433</v>
      </c>
      <c r="C1037" s="45" t="s">
        <v>1173</v>
      </c>
      <c r="D1037" s="44" t="s">
        <v>1431</v>
      </c>
      <c r="E1037" s="44" t="s">
        <v>1481</v>
      </c>
      <c r="F1037" s="44"/>
      <c r="G1037" s="44" t="s">
        <v>1687</v>
      </c>
      <c r="H1037" s="44" t="s">
        <v>7434</v>
      </c>
      <c r="I1037" s="46" t="s">
        <v>7435</v>
      </c>
      <c r="J1037" s="46" t="s">
        <v>7436</v>
      </c>
      <c r="K1037" s="46" t="s">
        <v>2612</v>
      </c>
      <c r="L1037" s="46" t="s">
        <v>1474</v>
      </c>
      <c r="M1037" s="46" t="s">
        <v>7437</v>
      </c>
      <c r="N1037" s="46" t="s">
        <v>1516</v>
      </c>
      <c r="O1037" s="44" t="s">
        <v>7438</v>
      </c>
      <c r="P1037" s="44" t="s">
        <v>7439</v>
      </c>
      <c r="Q1037" s="44" t="s">
        <v>1695</v>
      </c>
      <c r="R1037" s="44" t="s">
        <v>1463</v>
      </c>
      <c r="S1037" s="43"/>
      <c r="T1037" s="51">
        <v>45526</v>
      </c>
    </row>
    <row r="1038" spans="1:20" ht="26.45">
      <c r="A1038" s="47" t="s">
        <v>1174</v>
      </c>
      <c r="B1038" s="47" t="s">
        <v>7440</v>
      </c>
      <c r="C1038" s="48" t="s">
        <v>1175</v>
      </c>
      <c r="D1038" s="47" t="s">
        <v>1419</v>
      </c>
      <c r="E1038" s="47" t="s">
        <v>1481</v>
      </c>
      <c r="F1038" s="47"/>
      <c r="G1038" s="47" t="s">
        <v>1466</v>
      </c>
      <c r="H1038" s="47" t="s">
        <v>7441</v>
      </c>
      <c r="I1038" s="50" t="s">
        <v>7442</v>
      </c>
      <c r="J1038" s="50" t="s">
        <v>7443</v>
      </c>
      <c r="K1038" s="50" t="s">
        <v>2061</v>
      </c>
      <c r="L1038" s="50" t="s">
        <v>1504</v>
      </c>
      <c r="M1038" s="50" t="s">
        <v>7444</v>
      </c>
      <c r="N1038" s="50" t="s">
        <v>1641</v>
      </c>
      <c r="O1038" s="47" t="s">
        <v>7445</v>
      </c>
      <c r="P1038" s="47" t="s">
        <v>7446</v>
      </c>
      <c r="Q1038" s="47" t="s">
        <v>1463</v>
      </c>
      <c r="R1038" s="47" t="s">
        <v>1463</v>
      </c>
      <c r="S1038" s="43"/>
      <c r="T1038" s="49">
        <v>45677</v>
      </c>
    </row>
    <row r="1039" spans="1:20" ht="26.45">
      <c r="A1039" s="44" t="s">
        <v>7447</v>
      </c>
      <c r="B1039" s="44" t="s">
        <v>7448</v>
      </c>
      <c r="C1039" s="45" t="s">
        <v>7449</v>
      </c>
      <c r="D1039" s="44" t="s">
        <v>1419</v>
      </c>
      <c r="E1039" s="44" t="s">
        <v>1481</v>
      </c>
      <c r="F1039" s="44"/>
      <c r="G1039" s="44" t="s">
        <v>1490</v>
      </c>
      <c r="H1039" s="44" t="s">
        <v>7450</v>
      </c>
      <c r="I1039" s="46" t="s">
        <v>7449</v>
      </c>
      <c r="J1039" s="46" t="s">
        <v>7451</v>
      </c>
      <c r="K1039" s="46" t="s">
        <v>2829</v>
      </c>
      <c r="L1039" s="46" t="s">
        <v>1504</v>
      </c>
      <c r="M1039" s="46" t="s">
        <v>7452</v>
      </c>
      <c r="N1039" s="46" t="s">
        <v>1495</v>
      </c>
      <c r="O1039" s="44" t="s">
        <v>7453</v>
      </c>
      <c r="P1039" s="44"/>
      <c r="Q1039" s="44" t="s">
        <v>1463</v>
      </c>
      <c r="R1039" s="44" t="s">
        <v>1463</v>
      </c>
      <c r="S1039" s="43"/>
      <c r="T1039" s="51">
        <v>42895</v>
      </c>
    </row>
    <row r="1040" spans="1:20" ht="26.45">
      <c r="A1040" s="47" t="s">
        <v>411</v>
      </c>
      <c r="B1040" s="47" t="s">
        <v>7454</v>
      </c>
      <c r="C1040" s="48" t="s">
        <v>1176</v>
      </c>
      <c r="D1040" s="47" t="s">
        <v>1434</v>
      </c>
      <c r="E1040" s="47" t="s">
        <v>1481</v>
      </c>
      <c r="F1040" s="47"/>
      <c r="G1040" s="47" t="s">
        <v>1687</v>
      </c>
      <c r="H1040" s="47" t="s">
        <v>7455</v>
      </c>
      <c r="I1040" s="50" t="s">
        <v>7456</v>
      </c>
      <c r="J1040" s="50" t="s">
        <v>7457</v>
      </c>
      <c r="K1040" s="50" t="s">
        <v>7458</v>
      </c>
      <c r="L1040" s="50" t="s">
        <v>1504</v>
      </c>
      <c r="M1040" s="50" t="s">
        <v>7459</v>
      </c>
      <c r="N1040" s="50" t="s">
        <v>1531</v>
      </c>
      <c r="O1040" s="47" t="s">
        <v>7460</v>
      </c>
      <c r="P1040" s="47" t="s">
        <v>7461</v>
      </c>
      <c r="Q1040" s="47" t="s">
        <v>1695</v>
      </c>
      <c r="R1040" s="47" t="s">
        <v>1463</v>
      </c>
      <c r="S1040" s="43"/>
      <c r="T1040" s="49">
        <v>45608</v>
      </c>
    </row>
    <row r="1041" spans="1:20" ht="26.45">
      <c r="A1041" s="44" t="s">
        <v>412</v>
      </c>
      <c r="B1041" s="44" t="s">
        <v>7462</v>
      </c>
      <c r="C1041" s="45" t="s">
        <v>1177</v>
      </c>
      <c r="D1041" s="44" t="s">
        <v>1414</v>
      </c>
      <c r="E1041" s="44" t="s">
        <v>1481</v>
      </c>
      <c r="F1041" s="44"/>
      <c r="G1041" s="44" t="s">
        <v>1687</v>
      </c>
      <c r="H1041" s="44" t="s">
        <v>7463</v>
      </c>
      <c r="I1041" s="46" t="s">
        <v>7464</v>
      </c>
      <c r="J1041" s="46" t="s">
        <v>7465</v>
      </c>
      <c r="K1041" s="46" t="s">
        <v>7466</v>
      </c>
      <c r="L1041" s="46" t="s">
        <v>4517</v>
      </c>
      <c r="M1041" s="46" t="s">
        <v>7467</v>
      </c>
      <c r="N1041" s="46" t="s">
        <v>1629</v>
      </c>
      <c r="O1041" s="44" t="s">
        <v>7468</v>
      </c>
      <c r="P1041" s="44" t="s">
        <v>7469</v>
      </c>
      <c r="Q1041" s="44" t="s">
        <v>1695</v>
      </c>
      <c r="R1041" s="44" t="s">
        <v>1463</v>
      </c>
      <c r="S1041" s="43"/>
      <c r="T1041" s="51">
        <v>45442</v>
      </c>
    </row>
    <row r="1042" spans="1:20" ht="26.45">
      <c r="A1042" s="47" t="s">
        <v>7470</v>
      </c>
      <c r="B1042" s="47" t="s">
        <v>7471</v>
      </c>
      <c r="C1042" s="48" t="s">
        <v>7472</v>
      </c>
      <c r="D1042" s="47" t="s">
        <v>1414</v>
      </c>
      <c r="E1042" s="47" t="s">
        <v>1481</v>
      </c>
      <c r="F1042" s="47"/>
      <c r="G1042" s="47" t="s">
        <v>3395</v>
      </c>
      <c r="H1042" s="47"/>
      <c r="I1042" s="50" t="s">
        <v>7472</v>
      </c>
      <c r="J1042" s="50" t="s">
        <v>7473</v>
      </c>
      <c r="K1042" s="50" t="s">
        <v>2764</v>
      </c>
      <c r="L1042" s="50" t="s">
        <v>1504</v>
      </c>
      <c r="M1042" s="50" t="s">
        <v>7474</v>
      </c>
      <c r="N1042" s="50"/>
      <c r="O1042" s="47"/>
      <c r="P1042" s="47"/>
      <c r="Q1042" s="47" t="s">
        <v>1463</v>
      </c>
      <c r="R1042" s="47" t="s">
        <v>1463</v>
      </c>
      <c r="S1042" s="43"/>
      <c r="T1042" s="47"/>
    </row>
    <row r="1043" spans="1:20" ht="26.45">
      <c r="A1043" s="44" t="s">
        <v>413</v>
      </c>
      <c r="B1043" s="44" t="s">
        <v>7475</v>
      </c>
      <c r="C1043" s="45" t="s">
        <v>1178</v>
      </c>
      <c r="D1043" s="44" t="s">
        <v>1428</v>
      </c>
      <c r="E1043" s="44" t="s">
        <v>1481</v>
      </c>
      <c r="F1043" s="44"/>
      <c r="G1043" s="44" t="s">
        <v>1687</v>
      </c>
      <c r="H1043" s="44" t="s">
        <v>7476</v>
      </c>
      <c r="I1043" s="46" t="s">
        <v>7477</v>
      </c>
      <c r="J1043" s="46" t="s">
        <v>7478</v>
      </c>
      <c r="K1043" s="46" t="s">
        <v>7479</v>
      </c>
      <c r="L1043" s="46" t="s">
        <v>1504</v>
      </c>
      <c r="M1043" s="46" t="s">
        <v>7480</v>
      </c>
      <c r="N1043" s="46" t="s">
        <v>1525</v>
      </c>
      <c r="O1043" s="44" t="s">
        <v>7481</v>
      </c>
      <c r="P1043" s="44" t="s">
        <v>7482</v>
      </c>
      <c r="Q1043" s="44" t="s">
        <v>1695</v>
      </c>
      <c r="R1043" s="44" t="s">
        <v>1463</v>
      </c>
      <c r="S1043" s="43"/>
      <c r="T1043" s="51">
        <v>45635</v>
      </c>
    </row>
    <row r="1044" spans="1:20" ht="26.45">
      <c r="A1044" s="47" t="s">
        <v>414</v>
      </c>
      <c r="B1044" s="47" t="s">
        <v>7483</v>
      </c>
      <c r="C1044" s="48" t="s">
        <v>1179</v>
      </c>
      <c r="D1044" s="47" t="s">
        <v>1419</v>
      </c>
      <c r="E1044" s="47" t="s">
        <v>1481</v>
      </c>
      <c r="F1044" s="47"/>
      <c r="G1044" s="47" t="s">
        <v>1466</v>
      </c>
      <c r="H1044" s="47" t="s">
        <v>7484</v>
      </c>
      <c r="I1044" s="50" t="s">
        <v>7485</v>
      </c>
      <c r="J1044" s="50" t="s">
        <v>7486</v>
      </c>
      <c r="K1044" s="50" t="s">
        <v>1888</v>
      </c>
      <c r="L1044" s="50" t="s">
        <v>1474</v>
      </c>
      <c r="M1044" s="50" t="s">
        <v>7487</v>
      </c>
      <c r="N1044" s="50" t="s">
        <v>1744</v>
      </c>
      <c r="O1044" s="47" t="s">
        <v>7488</v>
      </c>
      <c r="P1044" s="47" t="s">
        <v>7489</v>
      </c>
      <c r="Q1044" s="47" t="s">
        <v>1463</v>
      </c>
      <c r="R1044" s="47" t="s">
        <v>1463</v>
      </c>
      <c r="S1044" s="43"/>
      <c r="T1044" s="49">
        <v>45331</v>
      </c>
    </row>
    <row r="1045" spans="1:20" ht="26.45">
      <c r="A1045" s="44" t="s">
        <v>7490</v>
      </c>
      <c r="B1045" s="44" t="s">
        <v>7491</v>
      </c>
      <c r="C1045" s="45" t="s">
        <v>7492</v>
      </c>
      <c r="D1045" s="44" t="s">
        <v>1414</v>
      </c>
      <c r="E1045" s="44" t="s">
        <v>1481</v>
      </c>
      <c r="F1045" s="44"/>
      <c r="G1045" s="44" t="s">
        <v>1618</v>
      </c>
      <c r="H1045" s="44" t="s">
        <v>7493</v>
      </c>
      <c r="I1045" s="46" t="s">
        <v>7492</v>
      </c>
      <c r="J1045" s="46" t="s">
        <v>7494</v>
      </c>
      <c r="K1045" s="46" t="s">
        <v>1484</v>
      </c>
      <c r="L1045" s="46" t="s">
        <v>1474</v>
      </c>
      <c r="M1045" s="46" t="s">
        <v>7495</v>
      </c>
      <c r="N1045" s="46" t="s">
        <v>1629</v>
      </c>
      <c r="O1045" s="44" t="s">
        <v>7496</v>
      </c>
      <c r="P1045" s="44" t="s">
        <v>7497</v>
      </c>
      <c r="Q1045" s="44" t="s">
        <v>1463</v>
      </c>
      <c r="R1045" s="44" t="s">
        <v>1463</v>
      </c>
      <c r="S1045" s="43"/>
      <c r="T1045" s="51">
        <v>45017</v>
      </c>
    </row>
    <row r="1046" spans="1:20" ht="26.45">
      <c r="A1046" s="47" t="s">
        <v>415</v>
      </c>
      <c r="B1046" s="47" t="s">
        <v>7498</v>
      </c>
      <c r="C1046" s="48" t="s">
        <v>1180</v>
      </c>
      <c r="D1046" s="47" t="s">
        <v>1424</v>
      </c>
      <c r="E1046" s="47" t="s">
        <v>1481</v>
      </c>
      <c r="F1046" s="47"/>
      <c r="G1046" s="47" t="s">
        <v>1687</v>
      </c>
      <c r="H1046" s="47" t="s">
        <v>7499</v>
      </c>
      <c r="I1046" s="50" t="s">
        <v>7500</v>
      </c>
      <c r="J1046" s="50" t="s">
        <v>7501</v>
      </c>
      <c r="K1046" s="50" t="s">
        <v>7502</v>
      </c>
      <c r="L1046" s="50" t="s">
        <v>1504</v>
      </c>
      <c r="M1046" s="50" t="s">
        <v>7503</v>
      </c>
      <c r="N1046" s="50" t="s">
        <v>1641</v>
      </c>
      <c r="O1046" s="47" t="s">
        <v>7504</v>
      </c>
      <c r="P1046" s="47" t="s">
        <v>7505</v>
      </c>
      <c r="Q1046" s="47" t="s">
        <v>1695</v>
      </c>
      <c r="R1046" s="47" t="s">
        <v>1463</v>
      </c>
      <c r="S1046" s="43"/>
      <c r="T1046" s="49">
        <v>45497</v>
      </c>
    </row>
    <row r="1047" spans="1:20" ht="26.45">
      <c r="A1047" s="44" t="s">
        <v>7506</v>
      </c>
      <c r="B1047" s="44" t="s">
        <v>7507</v>
      </c>
      <c r="C1047" s="45" t="s">
        <v>7508</v>
      </c>
      <c r="D1047" s="44" t="s">
        <v>1436</v>
      </c>
      <c r="E1047" s="44" t="s">
        <v>1481</v>
      </c>
      <c r="F1047" s="44"/>
      <c r="G1047" s="44" t="s">
        <v>1663</v>
      </c>
      <c r="H1047" s="44" t="s">
        <v>7509</v>
      </c>
      <c r="I1047" s="46" t="s">
        <v>7201</v>
      </c>
      <c r="J1047" s="46" t="s">
        <v>7202</v>
      </c>
      <c r="K1047" s="46" t="s">
        <v>5095</v>
      </c>
      <c r="L1047" s="46" t="s">
        <v>1504</v>
      </c>
      <c r="M1047" s="46" t="s">
        <v>7510</v>
      </c>
      <c r="N1047" s="46" t="s">
        <v>1629</v>
      </c>
      <c r="O1047" s="44" t="s">
        <v>7204</v>
      </c>
      <c r="P1047" s="44" t="s">
        <v>7511</v>
      </c>
      <c r="Q1047" s="44" t="s">
        <v>1695</v>
      </c>
      <c r="R1047" s="44" t="s">
        <v>1463</v>
      </c>
      <c r="S1047" s="43"/>
      <c r="T1047" s="51">
        <v>45552</v>
      </c>
    </row>
    <row r="1048" spans="1:20">
      <c r="A1048" s="47" t="s">
        <v>7512</v>
      </c>
      <c r="B1048" s="47" t="s">
        <v>7513</v>
      </c>
      <c r="C1048" s="48" t="s">
        <v>7514</v>
      </c>
      <c r="D1048" s="47" t="s">
        <v>1436</v>
      </c>
      <c r="E1048" s="47" t="s">
        <v>1481</v>
      </c>
      <c r="F1048" s="47"/>
      <c r="G1048" s="47" t="s">
        <v>1687</v>
      </c>
      <c r="H1048" s="47" t="s">
        <v>7515</v>
      </c>
      <c r="I1048" s="50" t="s">
        <v>7514</v>
      </c>
      <c r="J1048" s="50"/>
      <c r="K1048" s="50"/>
      <c r="L1048" s="50"/>
      <c r="M1048" s="50"/>
      <c r="N1048" s="50"/>
      <c r="O1048" s="47" t="s">
        <v>7516</v>
      </c>
      <c r="P1048" s="47"/>
      <c r="Q1048" s="47" t="s">
        <v>1695</v>
      </c>
      <c r="R1048" s="47" t="s">
        <v>1463</v>
      </c>
      <c r="S1048" s="43"/>
      <c r="T1048" s="47"/>
    </row>
    <row r="1049" spans="1:20" ht="26.45">
      <c r="A1049" s="44" t="s">
        <v>7517</v>
      </c>
      <c r="B1049" s="44" t="s">
        <v>7518</v>
      </c>
      <c r="C1049" s="45" t="s">
        <v>7519</v>
      </c>
      <c r="D1049" s="44" t="s">
        <v>1436</v>
      </c>
      <c r="E1049" s="44" t="s">
        <v>1481</v>
      </c>
      <c r="F1049" s="44"/>
      <c r="G1049" s="44" t="s">
        <v>1663</v>
      </c>
      <c r="H1049" s="44" t="s">
        <v>7520</v>
      </c>
      <c r="I1049" s="46" t="s">
        <v>7201</v>
      </c>
      <c r="J1049" s="46" t="s">
        <v>7202</v>
      </c>
      <c r="K1049" s="46" t="s">
        <v>5095</v>
      </c>
      <c r="L1049" s="46" t="s">
        <v>1504</v>
      </c>
      <c r="M1049" s="46" t="s">
        <v>7203</v>
      </c>
      <c r="N1049" s="46" t="s">
        <v>1629</v>
      </c>
      <c r="O1049" s="44" t="s">
        <v>7204</v>
      </c>
      <c r="P1049" s="44" t="s">
        <v>7511</v>
      </c>
      <c r="Q1049" s="44" t="s">
        <v>1463</v>
      </c>
      <c r="R1049" s="44" t="s">
        <v>1463</v>
      </c>
      <c r="S1049" s="43"/>
      <c r="T1049" s="51">
        <v>45552</v>
      </c>
    </row>
    <row r="1050" spans="1:20" ht="26.45">
      <c r="A1050" s="47" t="s">
        <v>1181</v>
      </c>
      <c r="B1050" s="47" t="s">
        <v>7521</v>
      </c>
      <c r="C1050" s="48" t="s">
        <v>1182</v>
      </c>
      <c r="D1050" s="47" t="s">
        <v>1436</v>
      </c>
      <c r="E1050" s="47" t="s">
        <v>1481</v>
      </c>
      <c r="F1050" s="47"/>
      <c r="G1050" s="47" t="s">
        <v>1663</v>
      </c>
      <c r="H1050" s="47" t="s">
        <v>7522</v>
      </c>
      <c r="I1050" s="50" t="s">
        <v>7201</v>
      </c>
      <c r="J1050" s="50" t="s">
        <v>7202</v>
      </c>
      <c r="K1050" s="50" t="s">
        <v>5095</v>
      </c>
      <c r="L1050" s="50" t="s">
        <v>1504</v>
      </c>
      <c r="M1050" s="50" t="s">
        <v>7203</v>
      </c>
      <c r="N1050" s="50" t="s">
        <v>1629</v>
      </c>
      <c r="O1050" s="47" t="s">
        <v>7204</v>
      </c>
      <c r="P1050" s="47" t="s">
        <v>7511</v>
      </c>
      <c r="Q1050" s="47" t="s">
        <v>1463</v>
      </c>
      <c r="R1050" s="47" t="s">
        <v>1463</v>
      </c>
      <c r="S1050" s="43"/>
      <c r="T1050" s="49">
        <v>45552</v>
      </c>
    </row>
    <row r="1051" spans="1:20" ht="26.45">
      <c r="A1051" s="44" t="s">
        <v>416</v>
      </c>
      <c r="B1051" s="44" t="s">
        <v>7523</v>
      </c>
      <c r="C1051" s="45" t="s">
        <v>1183</v>
      </c>
      <c r="D1051" s="44" t="s">
        <v>1436</v>
      </c>
      <c r="E1051" s="44" t="s">
        <v>1481</v>
      </c>
      <c r="F1051" s="44"/>
      <c r="G1051" s="44" t="s">
        <v>1687</v>
      </c>
      <c r="H1051" s="44" t="s">
        <v>7524</v>
      </c>
      <c r="I1051" s="46" t="s">
        <v>7525</v>
      </c>
      <c r="J1051" s="46" t="s">
        <v>7526</v>
      </c>
      <c r="K1051" s="46" t="s">
        <v>7527</v>
      </c>
      <c r="L1051" s="46" t="s">
        <v>1504</v>
      </c>
      <c r="M1051" s="46" t="s">
        <v>7528</v>
      </c>
      <c r="N1051" s="46" t="s">
        <v>1629</v>
      </c>
      <c r="O1051" s="44" t="s">
        <v>7529</v>
      </c>
      <c r="P1051" s="44" t="s">
        <v>7530</v>
      </c>
      <c r="Q1051" s="44" t="s">
        <v>1695</v>
      </c>
      <c r="R1051" s="44" t="s">
        <v>1463</v>
      </c>
      <c r="S1051" s="43"/>
      <c r="T1051" s="51">
        <v>45583</v>
      </c>
    </row>
    <row r="1052" spans="1:20" ht="26.45">
      <c r="A1052" s="47" t="s">
        <v>417</v>
      </c>
      <c r="B1052" s="47" t="s">
        <v>7531</v>
      </c>
      <c r="C1052" s="48" t="s">
        <v>1184</v>
      </c>
      <c r="D1052" s="47" t="s">
        <v>1436</v>
      </c>
      <c r="E1052" s="47" t="s">
        <v>1481</v>
      </c>
      <c r="F1052" s="47"/>
      <c r="G1052" s="47" t="s">
        <v>1466</v>
      </c>
      <c r="H1052" s="47" t="s">
        <v>7532</v>
      </c>
      <c r="I1052" s="50" t="s">
        <v>7533</v>
      </c>
      <c r="J1052" s="50" t="s">
        <v>7534</v>
      </c>
      <c r="K1052" s="50" t="s">
        <v>7535</v>
      </c>
      <c r="L1052" s="50" t="s">
        <v>1474</v>
      </c>
      <c r="M1052" s="50" t="s">
        <v>7536</v>
      </c>
      <c r="N1052" s="50" t="s">
        <v>1495</v>
      </c>
      <c r="O1052" s="47" t="s">
        <v>7537</v>
      </c>
      <c r="P1052" s="47" t="s">
        <v>7538</v>
      </c>
      <c r="Q1052" s="47" t="s">
        <v>1463</v>
      </c>
      <c r="R1052" s="47" t="s">
        <v>1463</v>
      </c>
      <c r="S1052" s="43"/>
      <c r="T1052" s="49">
        <v>45687</v>
      </c>
    </row>
    <row r="1053" spans="1:20" ht="26.45">
      <c r="A1053" s="44" t="s">
        <v>418</v>
      </c>
      <c r="B1053" s="44" t="s">
        <v>7539</v>
      </c>
      <c r="C1053" s="45" t="s">
        <v>1185</v>
      </c>
      <c r="D1053" s="44" t="s">
        <v>1436</v>
      </c>
      <c r="E1053" s="44" t="s">
        <v>1481</v>
      </c>
      <c r="F1053" s="44"/>
      <c r="G1053" s="44" t="s">
        <v>1687</v>
      </c>
      <c r="H1053" s="44" t="s">
        <v>7540</v>
      </c>
      <c r="I1053" s="46" t="s">
        <v>7541</v>
      </c>
      <c r="J1053" s="46" t="s">
        <v>7542</v>
      </c>
      <c r="K1053" s="46" t="s">
        <v>7543</v>
      </c>
      <c r="L1053" s="46" t="s">
        <v>1504</v>
      </c>
      <c r="M1053" s="46" t="s">
        <v>7544</v>
      </c>
      <c r="N1053" s="46" t="s">
        <v>1495</v>
      </c>
      <c r="O1053" s="44" t="s">
        <v>7545</v>
      </c>
      <c r="P1053" s="44" t="s">
        <v>7546</v>
      </c>
      <c r="Q1053" s="44" t="s">
        <v>1695</v>
      </c>
      <c r="R1053" s="44" t="s">
        <v>1463</v>
      </c>
      <c r="S1053" s="43"/>
      <c r="T1053" s="51">
        <v>45510</v>
      </c>
    </row>
    <row r="1054" spans="1:20" ht="26.45">
      <c r="A1054" s="47" t="s">
        <v>1186</v>
      </c>
      <c r="B1054" s="47" t="s">
        <v>7547</v>
      </c>
      <c r="C1054" s="48" t="s">
        <v>1187</v>
      </c>
      <c r="D1054" s="47" t="s">
        <v>1410</v>
      </c>
      <c r="E1054" s="47" t="s">
        <v>1481</v>
      </c>
      <c r="F1054" s="47"/>
      <c r="G1054" s="47" t="s">
        <v>1687</v>
      </c>
      <c r="H1054" s="47" t="s">
        <v>7548</v>
      </c>
      <c r="I1054" s="50" t="s">
        <v>1187</v>
      </c>
      <c r="J1054" s="50" t="s">
        <v>7549</v>
      </c>
      <c r="K1054" s="50" t="s">
        <v>4024</v>
      </c>
      <c r="L1054" s="50" t="s">
        <v>1504</v>
      </c>
      <c r="M1054" s="50" t="s">
        <v>7550</v>
      </c>
      <c r="N1054" s="50" t="s">
        <v>1641</v>
      </c>
      <c r="O1054" s="47" t="s">
        <v>7551</v>
      </c>
      <c r="P1054" s="47" t="s">
        <v>7552</v>
      </c>
      <c r="Q1054" s="47" t="s">
        <v>1695</v>
      </c>
      <c r="R1054" s="47" t="s">
        <v>1463</v>
      </c>
      <c r="S1054" s="43"/>
      <c r="T1054" s="49">
        <v>45582</v>
      </c>
    </row>
    <row r="1055" spans="1:20" ht="26.45">
      <c r="A1055" s="44" t="s">
        <v>1188</v>
      </c>
      <c r="B1055" s="44" t="s">
        <v>7553</v>
      </c>
      <c r="C1055" s="45" t="s">
        <v>1189</v>
      </c>
      <c r="D1055" s="44" t="s">
        <v>1414</v>
      </c>
      <c r="E1055" s="44" t="s">
        <v>1481</v>
      </c>
      <c r="F1055" s="44"/>
      <c r="G1055" s="44" t="s">
        <v>1466</v>
      </c>
      <c r="H1055" s="44" t="s">
        <v>7554</v>
      </c>
      <c r="I1055" s="46" t="s">
        <v>7555</v>
      </c>
      <c r="J1055" s="46" t="s">
        <v>7556</v>
      </c>
      <c r="K1055" s="46" t="s">
        <v>1484</v>
      </c>
      <c r="L1055" s="46" t="s">
        <v>1504</v>
      </c>
      <c r="M1055" s="46" t="s">
        <v>7557</v>
      </c>
      <c r="N1055" s="46" t="s">
        <v>1495</v>
      </c>
      <c r="O1055" s="44" t="s">
        <v>7558</v>
      </c>
      <c r="P1055" s="44" t="s">
        <v>7559</v>
      </c>
      <c r="Q1055" s="44" t="s">
        <v>1463</v>
      </c>
      <c r="R1055" s="44" t="s">
        <v>1463</v>
      </c>
      <c r="S1055" s="43"/>
      <c r="T1055" s="51">
        <v>45370</v>
      </c>
    </row>
    <row r="1056" spans="1:20" ht="26.45">
      <c r="A1056" s="47" t="s">
        <v>1190</v>
      </c>
      <c r="B1056" s="47" t="s">
        <v>7560</v>
      </c>
      <c r="C1056" s="48" t="s">
        <v>1191</v>
      </c>
      <c r="D1056" s="47" t="s">
        <v>1419</v>
      </c>
      <c r="E1056" s="47" t="s">
        <v>1481</v>
      </c>
      <c r="F1056" s="47"/>
      <c r="G1056" s="47" t="s">
        <v>1466</v>
      </c>
      <c r="H1056" s="47" t="s">
        <v>7561</v>
      </c>
      <c r="I1056" s="50" t="s">
        <v>7562</v>
      </c>
      <c r="J1056" s="50" t="s">
        <v>7563</v>
      </c>
      <c r="K1056" s="50" t="s">
        <v>1975</v>
      </c>
      <c r="L1056" s="50" t="s">
        <v>1474</v>
      </c>
      <c r="M1056" s="50" t="s">
        <v>7564</v>
      </c>
      <c r="N1056" s="50" t="s">
        <v>1476</v>
      </c>
      <c r="O1056" s="47" t="s">
        <v>7565</v>
      </c>
      <c r="P1056" s="47" t="s">
        <v>7566</v>
      </c>
      <c r="Q1056" s="47" t="s">
        <v>1463</v>
      </c>
      <c r="R1056" s="47" t="s">
        <v>1463</v>
      </c>
      <c r="S1056" s="43"/>
      <c r="T1056" s="49">
        <v>45609</v>
      </c>
    </row>
    <row r="1057" spans="1:20" ht="26.45">
      <c r="A1057" s="44" t="s">
        <v>419</v>
      </c>
      <c r="B1057" s="44" t="s">
        <v>7567</v>
      </c>
      <c r="C1057" s="45" t="s">
        <v>1192</v>
      </c>
      <c r="D1057" s="44" t="s">
        <v>1419</v>
      </c>
      <c r="E1057" s="44" t="s">
        <v>1481</v>
      </c>
      <c r="F1057" s="44"/>
      <c r="G1057" s="44" t="s">
        <v>1466</v>
      </c>
      <c r="H1057" s="44" t="s">
        <v>7568</v>
      </c>
      <c r="I1057" s="46" t="s">
        <v>1192</v>
      </c>
      <c r="J1057" s="46" t="s">
        <v>7569</v>
      </c>
      <c r="K1057" s="46" t="s">
        <v>1493</v>
      </c>
      <c r="L1057" s="46" t="s">
        <v>1474</v>
      </c>
      <c r="M1057" s="46" t="s">
        <v>7570</v>
      </c>
      <c r="N1057" s="46" t="s">
        <v>1641</v>
      </c>
      <c r="O1057" s="44" t="s">
        <v>7571</v>
      </c>
      <c r="P1057" s="44" t="s">
        <v>7572</v>
      </c>
      <c r="Q1057" s="44" t="s">
        <v>1463</v>
      </c>
      <c r="R1057" s="44" t="s">
        <v>1463</v>
      </c>
      <c r="S1057" s="43"/>
      <c r="T1057" s="51">
        <v>45607</v>
      </c>
    </row>
    <row r="1058" spans="1:20">
      <c r="A1058" s="47" t="s">
        <v>7573</v>
      </c>
      <c r="B1058" s="47" t="s">
        <v>7574</v>
      </c>
      <c r="C1058" s="48" t="s">
        <v>7575</v>
      </c>
      <c r="D1058" s="47" t="s">
        <v>1424</v>
      </c>
      <c r="E1058" s="47" t="s">
        <v>1481</v>
      </c>
      <c r="F1058" s="47"/>
      <c r="G1058" s="47" t="s">
        <v>1663</v>
      </c>
      <c r="H1058" s="47"/>
      <c r="I1058" s="50" t="s">
        <v>7575</v>
      </c>
      <c r="J1058" s="50" t="s">
        <v>7576</v>
      </c>
      <c r="K1058" s="50" t="s">
        <v>7577</v>
      </c>
      <c r="L1058" s="50" t="s">
        <v>1504</v>
      </c>
      <c r="M1058" s="50" t="s">
        <v>7578</v>
      </c>
      <c r="N1058" s="50" t="s">
        <v>1641</v>
      </c>
      <c r="O1058" s="47"/>
      <c r="P1058" s="47"/>
      <c r="Q1058" s="47" t="s">
        <v>1463</v>
      </c>
      <c r="R1058" s="47" t="s">
        <v>1463</v>
      </c>
      <c r="S1058" s="43"/>
      <c r="T1058" s="49">
        <v>42438</v>
      </c>
    </row>
    <row r="1059" spans="1:20" ht="26.45">
      <c r="A1059" s="44" t="s">
        <v>7579</v>
      </c>
      <c r="B1059" s="44" t="s">
        <v>7580</v>
      </c>
      <c r="C1059" s="45" t="s">
        <v>7581</v>
      </c>
      <c r="D1059" s="44" t="s">
        <v>1428</v>
      </c>
      <c r="E1059" s="44" t="s">
        <v>1481</v>
      </c>
      <c r="F1059" s="44"/>
      <c r="G1059" s="44" t="s">
        <v>1663</v>
      </c>
      <c r="H1059" s="44"/>
      <c r="I1059" s="46" t="s">
        <v>7582</v>
      </c>
      <c r="J1059" s="46" t="s">
        <v>7583</v>
      </c>
      <c r="K1059" s="46" t="s">
        <v>2632</v>
      </c>
      <c r="L1059" s="46" t="s">
        <v>1504</v>
      </c>
      <c r="M1059" s="46" t="s">
        <v>3278</v>
      </c>
      <c r="N1059" s="46" t="s">
        <v>1531</v>
      </c>
      <c r="O1059" s="44" t="s">
        <v>2262</v>
      </c>
      <c r="P1059" s="44"/>
      <c r="Q1059" s="44" t="s">
        <v>1463</v>
      </c>
      <c r="R1059" s="44" t="s">
        <v>1463</v>
      </c>
      <c r="S1059" s="43"/>
      <c r="T1059" s="51">
        <v>43126</v>
      </c>
    </row>
    <row r="1060" spans="1:20">
      <c r="A1060" s="47" t="s">
        <v>7584</v>
      </c>
      <c r="B1060" s="47" t="s">
        <v>7585</v>
      </c>
      <c r="C1060" s="48" t="s">
        <v>7586</v>
      </c>
      <c r="D1060" s="47" t="s">
        <v>1430</v>
      </c>
      <c r="E1060" s="47" t="s">
        <v>1481</v>
      </c>
      <c r="F1060" s="47"/>
      <c r="G1060" s="47" t="s">
        <v>1663</v>
      </c>
      <c r="H1060" s="47"/>
      <c r="I1060" s="50" t="s">
        <v>7586</v>
      </c>
      <c r="J1060" s="50"/>
      <c r="K1060" s="50"/>
      <c r="L1060" s="50"/>
      <c r="M1060" s="50"/>
      <c r="N1060" s="50"/>
      <c r="O1060" s="47"/>
      <c r="P1060" s="47"/>
      <c r="Q1060" s="47" t="s">
        <v>1463</v>
      </c>
      <c r="R1060" s="47" t="s">
        <v>1463</v>
      </c>
      <c r="S1060" s="43"/>
      <c r="T1060" s="47"/>
    </row>
    <row r="1061" spans="1:20">
      <c r="A1061" s="44" t="s">
        <v>7587</v>
      </c>
      <c r="B1061" s="44" t="s">
        <v>7588</v>
      </c>
      <c r="C1061" s="45" t="s">
        <v>7589</v>
      </c>
      <c r="D1061" s="44" t="s">
        <v>1434</v>
      </c>
      <c r="E1061" s="44" t="s">
        <v>1481</v>
      </c>
      <c r="F1061" s="44"/>
      <c r="G1061" s="44" t="s">
        <v>1663</v>
      </c>
      <c r="H1061" s="44"/>
      <c r="I1061" s="46" t="s">
        <v>7589</v>
      </c>
      <c r="J1061" s="46"/>
      <c r="K1061" s="46"/>
      <c r="L1061" s="46"/>
      <c r="M1061" s="46"/>
      <c r="N1061" s="46"/>
      <c r="O1061" s="44"/>
      <c r="P1061" s="44"/>
      <c r="Q1061" s="44" t="s">
        <v>1463</v>
      </c>
      <c r="R1061" s="44" t="s">
        <v>1463</v>
      </c>
      <c r="S1061" s="43"/>
      <c r="T1061" s="44"/>
    </row>
    <row r="1062" spans="1:20">
      <c r="A1062" s="47" t="s">
        <v>7590</v>
      </c>
      <c r="B1062" s="47" t="s">
        <v>7591</v>
      </c>
      <c r="C1062" s="48" t="s">
        <v>7592</v>
      </c>
      <c r="D1062" s="47" t="s">
        <v>1433</v>
      </c>
      <c r="E1062" s="47" t="s">
        <v>1481</v>
      </c>
      <c r="F1062" s="47"/>
      <c r="G1062" s="47" t="s">
        <v>1663</v>
      </c>
      <c r="H1062" s="47"/>
      <c r="I1062" s="50" t="s">
        <v>7593</v>
      </c>
      <c r="J1062" s="50" t="s">
        <v>4511</v>
      </c>
      <c r="K1062" s="50" t="s">
        <v>4512</v>
      </c>
      <c r="L1062" s="50" t="s">
        <v>1504</v>
      </c>
      <c r="M1062" s="50" t="s">
        <v>4513</v>
      </c>
      <c r="N1062" s="50" t="s">
        <v>1641</v>
      </c>
      <c r="O1062" s="47" t="s">
        <v>4514</v>
      </c>
      <c r="P1062" s="47"/>
      <c r="Q1062" s="47" t="s">
        <v>1463</v>
      </c>
      <c r="R1062" s="47" t="s">
        <v>1463</v>
      </c>
      <c r="S1062" s="43"/>
      <c r="T1062" s="49">
        <v>43279</v>
      </c>
    </row>
    <row r="1063" spans="1:20">
      <c r="A1063" s="44" t="s">
        <v>7594</v>
      </c>
      <c r="B1063" s="44" t="s">
        <v>7595</v>
      </c>
      <c r="C1063" s="45" t="s">
        <v>7596</v>
      </c>
      <c r="D1063" s="44" t="s">
        <v>1435</v>
      </c>
      <c r="E1063" s="44" t="s">
        <v>1481</v>
      </c>
      <c r="F1063" s="44"/>
      <c r="G1063" s="44" t="s">
        <v>1663</v>
      </c>
      <c r="H1063" s="44"/>
      <c r="I1063" s="46" t="s">
        <v>7596</v>
      </c>
      <c r="J1063" s="46" t="s">
        <v>2657</v>
      </c>
      <c r="K1063" s="46" t="s">
        <v>7597</v>
      </c>
      <c r="L1063" s="46" t="s">
        <v>1504</v>
      </c>
      <c r="M1063" s="46" t="s">
        <v>7598</v>
      </c>
      <c r="N1063" s="46"/>
      <c r="O1063" s="44"/>
      <c r="P1063" s="44"/>
      <c r="Q1063" s="44" t="s">
        <v>1463</v>
      </c>
      <c r="R1063" s="44" t="s">
        <v>1463</v>
      </c>
      <c r="S1063" s="43"/>
      <c r="T1063" s="51">
        <v>42689</v>
      </c>
    </row>
    <row r="1064" spans="1:20">
      <c r="A1064" s="47" t="s">
        <v>7599</v>
      </c>
      <c r="B1064" s="47" t="s">
        <v>7600</v>
      </c>
      <c r="C1064" s="48" t="s">
        <v>7601</v>
      </c>
      <c r="D1064" s="47" t="s">
        <v>1431</v>
      </c>
      <c r="E1064" s="47" t="s">
        <v>1460</v>
      </c>
      <c r="F1064" s="47"/>
      <c r="G1064" s="47" t="s">
        <v>1663</v>
      </c>
      <c r="H1064" s="47"/>
      <c r="I1064" s="50" t="s">
        <v>7601</v>
      </c>
      <c r="J1064" s="50" t="s">
        <v>5343</v>
      </c>
      <c r="K1064" s="50" t="s">
        <v>5327</v>
      </c>
      <c r="L1064" s="50" t="s">
        <v>1504</v>
      </c>
      <c r="M1064" s="50" t="s">
        <v>5337</v>
      </c>
      <c r="N1064" s="50" t="s">
        <v>1476</v>
      </c>
      <c r="O1064" s="47" t="s">
        <v>5338</v>
      </c>
      <c r="P1064" s="47"/>
      <c r="Q1064" s="47" t="s">
        <v>1463</v>
      </c>
      <c r="R1064" s="47" t="s">
        <v>1463</v>
      </c>
      <c r="S1064" s="43"/>
      <c r="T1064" s="49">
        <v>42550</v>
      </c>
    </row>
    <row r="1065" spans="1:20" ht="26.45">
      <c r="A1065" s="44" t="s">
        <v>7602</v>
      </c>
      <c r="B1065" s="44" t="s">
        <v>7603</v>
      </c>
      <c r="C1065" s="45" t="s">
        <v>7604</v>
      </c>
      <c r="D1065" s="44" t="s">
        <v>1419</v>
      </c>
      <c r="E1065" s="44" t="s">
        <v>1481</v>
      </c>
      <c r="F1065" s="44"/>
      <c r="G1065" s="44" t="s">
        <v>1663</v>
      </c>
      <c r="H1065" s="44"/>
      <c r="I1065" s="46" t="s">
        <v>5824</v>
      </c>
      <c r="J1065" s="46" t="s">
        <v>7605</v>
      </c>
      <c r="K1065" s="46" t="s">
        <v>1493</v>
      </c>
      <c r="L1065" s="46" t="s">
        <v>1474</v>
      </c>
      <c r="M1065" s="46" t="s">
        <v>5826</v>
      </c>
      <c r="N1065" s="46" t="s">
        <v>1629</v>
      </c>
      <c r="O1065" s="44" t="s">
        <v>5827</v>
      </c>
      <c r="P1065" s="44" t="s">
        <v>5828</v>
      </c>
      <c r="Q1065" s="44" t="s">
        <v>1463</v>
      </c>
      <c r="R1065" s="44" t="s">
        <v>1463</v>
      </c>
      <c r="S1065" s="43"/>
      <c r="T1065" s="51">
        <v>45422</v>
      </c>
    </row>
    <row r="1066" spans="1:20">
      <c r="A1066" s="47" t="s">
        <v>7606</v>
      </c>
      <c r="B1066" s="47" t="s">
        <v>7607</v>
      </c>
      <c r="C1066" s="48" t="s">
        <v>7608</v>
      </c>
      <c r="D1066" s="47" t="s">
        <v>1416</v>
      </c>
      <c r="E1066" s="47" t="s">
        <v>1481</v>
      </c>
      <c r="F1066" s="47"/>
      <c r="G1066" s="47" t="s">
        <v>1663</v>
      </c>
      <c r="H1066" s="47"/>
      <c r="I1066" s="50" t="s">
        <v>7608</v>
      </c>
      <c r="J1066" s="50"/>
      <c r="K1066" s="50"/>
      <c r="L1066" s="50"/>
      <c r="M1066" s="50"/>
      <c r="N1066" s="50"/>
      <c r="O1066" s="47"/>
      <c r="P1066" s="47"/>
      <c r="Q1066" s="47" t="s">
        <v>1463</v>
      </c>
      <c r="R1066" s="47" t="s">
        <v>1463</v>
      </c>
      <c r="S1066" s="43"/>
      <c r="T1066" s="47"/>
    </row>
    <row r="1067" spans="1:20">
      <c r="A1067" s="44" t="s">
        <v>7609</v>
      </c>
      <c r="B1067" s="44" t="s">
        <v>7610</v>
      </c>
      <c r="C1067" s="45" t="s">
        <v>7611</v>
      </c>
      <c r="D1067" s="44" t="s">
        <v>1432</v>
      </c>
      <c r="E1067" s="44" t="s">
        <v>1481</v>
      </c>
      <c r="F1067" s="44"/>
      <c r="G1067" s="44" t="s">
        <v>1663</v>
      </c>
      <c r="H1067" s="44"/>
      <c r="I1067" s="46" t="s">
        <v>7611</v>
      </c>
      <c r="J1067" s="46"/>
      <c r="K1067" s="46"/>
      <c r="L1067" s="46"/>
      <c r="M1067" s="46"/>
      <c r="N1067" s="46"/>
      <c r="O1067" s="44"/>
      <c r="P1067" s="44"/>
      <c r="Q1067" s="44" t="s">
        <v>1463</v>
      </c>
      <c r="R1067" s="44" t="s">
        <v>1463</v>
      </c>
      <c r="S1067" s="43"/>
      <c r="T1067" s="44"/>
    </row>
    <row r="1068" spans="1:20" ht="26.45">
      <c r="A1068" s="47" t="s">
        <v>7612</v>
      </c>
      <c r="B1068" s="47" t="s">
        <v>7613</v>
      </c>
      <c r="C1068" s="48" t="s">
        <v>7614</v>
      </c>
      <c r="D1068" s="47" t="s">
        <v>1414</v>
      </c>
      <c r="E1068" s="47" t="s">
        <v>1481</v>
      </c>
      <c r="F1068" s="49">
        <v>45057.728140856503</v>
      </c>
      <c r="G1068" s="47" t="s">
        <v>1663</v>
      </c>
      <c r="H1068" s="47"/>
      <c r="I1068" s="50" t="s">
        <v>7615</v>
      </c>
      <c r="J1068" s="50" t="s">
        <v>6939</v>
      </c>
      <c r="K1068" s="50" t="s">
        <v>6940</v>
      </c>
      <c r="L1068" s="50" t="s">
        <v>1474</v>
      </c>
      <c r="M1068" s="50" t="s">
        <v>6455</v>
      </c>
      <c r="N1068" s="50" t="s">
        <v>1629</v>
      </c>
      <c r="O1068" s="47" t="s">
        <v>6884</v>
      </c>
      <c r="P1068" s="47" t="s">
        <v>6885</v>
      </c>
      <c r="Q1068" s="47" t="s">
        <v>1463</v>
      </c>
      <c r="R1068" s="47" t="s">
        <v>1463</v>
      </c>
      <c r="S1068" s="43"/>
      <c r="T1068" s="49">
        <v>45093</v>
      </c>
    </row>
    <row r="1069" spans="1:20" ht="26.45">
      <c r="A1069" s="44" t="s">
        <v>7616</v>
      </c>
      <c r="B1069" s="44" t="s">
        <v>7617</v>
      </c>
      <c r="C1069" s="45" t="s">
        <v>7618</v>
      </c>
      <c r="D1069" s="44" t="s">
        <v>1410</v>
      </c>
      <c r="E1069" s="44" t="s">
        <v>1481</v>
      </c>
      <c r="F1069" s="44"/>
      <c r="G1069" s="44" t="s">
        <v>1663</v>
      </c>
      <c r="H1069" s="44"/>
      <c r="I1069" s="46" t="s">
        <v>6965</v>
      </c>
      <c r="J1069" s="46" t="s">
        <v>7619</v>
      </c>
      <c r="K1069" s="46" t="s">
        <v>4200</v>
      </c>
      <c r="L1069" s="46" t="s">
        <v>1504</v>
      </c>
      <c r="M1069" s="46" t="s">
        <v>7620</v>
      </c>
      <c r="N1069" s="46" t="s">
        <v>1476</v>
      </c>
      <c r="O1069" s="44" t="s">
        <v>6959</v>
      </c>
      <c r="P1069" s="44" t="s">
        <v>6960</v>
      </c>
      <c r="Q1069" s="44" t="s">
        <v>1463</v>
      </c>
      <c r="R1069" s="44" t="s">
        <v>1463</v>
      </c>
      <c r="S1069" s="43"/>
      <c r="T1069" s="51">
        <v>45302</v>
      </c>
    </row>
    <row r="1070" spans="1:20">
      <c r="A1070" s="47" t="s">
        <v>7621</v>
      </c>
      <c r="B1070" s="47" t="s">
        <v>7622</v>
      </c>
      <c r="C1070" s="48" t="s">
        <v>7623</v>
      </c>
      <c r="D1070" s="47" t="s">
        <v>1436</v>
      </c>
      <c r="E1070" s="47" t="s">
        <v>1481</v>
      </c>
      <c r="F1070" s="47"/>
      <c r="G1070" s="47" t="s">
        <v>1663</v>
      </c>
      <c r="H1070" s="47"/>
      <c r="I1070" s="50" t="s">
        <v>7623</v>
      </c>
      <c r="J1070" s="50"/>
      <c r="K1070" s="50"/>
      <c r="L1070" s="50"/>
      <c r="M1070" s="50"/>
      <c r="N1070" s="50"/>
      <c r="O1070" s="47" t="s">
        <v>7624</v>
      </c>
      <c r="P1070" s="47"/>
      <c r="Q1070" s="47" t="s">
        <v>1463</v>
      </c>
      <c r="R1070" s="47" t="s">
        <v>1463</v>
      </c>
      <c r="S1070" s="43"/>
      <c r="T1070" s="47"/>
    </row>
    <row r="1071" spans="1:20">
      <c r="A1071" s="44" t="s">
        <v>7625</v>
      </c>
      <c r="B1071" s="44" t="s">
        <v>7626</v>
      </c>
      <c r="C1071" s="45" t="s">
        <v>7627</v>
      </c>
      <c r="D1071" s="44" t="s">
        <v>1420</v>
      </c>
      <c r="E1071" s="44" t="s">
        <v>1481</v>
      </c>
      <c r="F1071" s="44"/>
      <c r="G1071" s="44" t="s">
        <v>1663</v>
      </c>
      <c r="H1071" s="44"/>
      <c r="I1071" s="46" t="s">
        <v>7627</v>
      </c>
      <c r="J1071" s="46" t="s">
        <v>7628</v>
      </c>
      <c r="K1071" s="46" t="s">
        <v>7629</v>
      </c>
      <c r="L1071" s="46" t="s">
        <v>1504</v>
      </c>
      <c r="M1071" s="46" t="s">
        <v>7630</v>
      </c>
      <c r="N1071" s="46" t="s">
        <v>1476</v>
      </c>
      <c r="O1071" s="44" t="s">
        <v>7631</v>
      </c>
      <c r="P1071" s="44"/>
      <c r="Q1071" s="44" t="s">
        <v>1463</v>
      </c>
      <c r="R1071" s="44" t="s">
        <v>1463</v>
      </c>
      <c r="S1071" s="43"/>
      <c r="T1071" s="51">
        <v>42947</v>
      </c>
    </row>
    <row r="1072" spans="1:20">
      <c r="A1072" s="47" t="s">
        <v>7632</v>
      </c>
      <c r="B1072" s="47" t="s">
        <v>7633</v>
      </c>
      <c r="C1072" s="48" t="s">
        <v>7634</v>
      </c>
      <c r="D1072" s="47" t="s">
        <v>1425</v>
      </c>
      <c r="E1072" s="47" t="s">
        <v>1481</v>
      </c>
      <c r="F1072" s="47"/>
      <c r="G1072" s="47" t="s">
        <v>1663</v>
      </c>
      <c r="H1072" s="47"/>
      <c r="I1072" s="50" t="s">
        <v>7634</v>
      </c>
      <c r="J1072" s="50"/>
      <c r="K1072" s="50"/>
      <c r="L1072" s="50"/>
      <c r="M1072" s="50"/>
      <c r="N1072" s="50"/>
      <c r="O1072" s="47" t="s">
        <v>7635</v>
      </c>
      <c r="P1072" s="47"/>
      <c r="Q1072" s="47" t="s">
        <v>1695</v>
      </c>
      <c r="R1072" s="47" t="s">
        <v>1463</v>
      </c>
      <c r="S1072" s="43"/>
      <c r="T1072" s="47"/>
    </row>
    <row r="1073" spans="1:20" ht="26.45">
      <c r="A1073" s="44" t="s">
        <v>420</v>
      </c>
      <c r="B1073" s="44" t="s">
        <v>7636</v>
      </c>
      <c r="C1073" s="45" t="s">
        <v>1193</v>
      </c>
      <c r="D1073" s="44" t="s">
        <v>1414</v>
      </c>
      <c r="E1073" s="44" t="s">
        <v>1481</v>
      </c>
      <c r="F1073" s="44"/>
      <c r="G1073" s="44" t="s">
        <v>1466</v>
      </c>
      <c r="H1073" s="44" t="s">
        <v>7637</v>
      </c>
      <c r="I1073" s="46" t="s">
        <v>7638</v>
      </c>
      <c r="J1073" s="46" t="s">
        <v>7639</v>
      </c>
      <c r="K1073" s="46" t="s">
        <v>1484</v>
      </c>
      <c r="L1073" s="46" t="s">
        <v>1474</v>
      </c>
      <c r="M1073" s="46" t="s">
        <v>7640</v>
      </c>
      <c r="N1073" s="46" t="s">
        <v>1525</v>
      </c>
      <c r="O1073" s="44" t="s">
        <v>7641</v>
      </c>
      <c r="P1073" s="44" t="s">
        <v>7642</v>
      </c>
      <c r="Q1073" s="44" t="s">
        <v>1463</v>
      </c>
      <c r="R1073" s="44" t="s">
        <v>1463</v>
      </c>
      <c r="S1073" s="43"/>
      <c r="T1073" s="51">
        <v>45456</v>
      </c>
    </row>
    <row r="1074" spans="1:20" ht="26.45">
      <c r="A1074" s="47" t="s">
        <v>421</v>
      </c>
      <c r="B1074" s="47" t="s">
        <v>7643</v>
      </c>
      <c r="C1074" s="48" t="s">
        <v>1194</v>
      </c>
      <c r="D1074" s="47" t="s">
        <v>1419</v>
      </c>
      <c r="E1074" s="47" t="s">
        <v>1481</v>
      </c>
      <c r="F1074" s="47"/>
      <c r="G1074" s="47" t="s">
        <v>1466</v>
      </c>
      <c r="H1074" s="47" t="s">
        <v>7644</v>
      </c>
      <c r="I1074" s="50" t="s">
        <v>1194</v>
      </c>
      <c r="J1074" s="50" t="s">
        <v>7645</v>
      </c>
      <c r="K1074" s="50" t="s">
        <v>6089</v>
      </c>
      <c r="L1074" s="50" t="s">
        <v>1474</v>
      </c>
      <c r="M1074" s="50" t="s">
        <v>7646</v>
      </c>
      <c r="N1074" s="50" t="s">
        <v>1641</v>
      </c>
      <c r="O1074" s="47" t="s">
        <v>7647</v>
      </c>
      <c r="P1074" s="47" t="s">
        <v>7648</v>
      </c>
      <c r="Q1074" s="47" t="s">
        <v>1463</v>
      </c>
      <c r="R1074" s="47" t="s">
        <v>1463</v>
      </c>
      <c r="S1074" s="43"/>
      <c r="T1074" s="49">
        <v>45663</v>
      </c>
    </row>
    <row r="1075" spans="1:20">
      <c r="A1075" s="44" t="s">
        <v>7649</v>
      </c>
      <c r="B1075" s="44" t="s">
        <v>7650</v>
      </c>
      <c r="C1075" s="45" t="s">
        <v>7651</v>
      </c>
      <c r="D1075" s="44" t="s">
        <v>1419</v>
      </c>
      <c r="E1075" s="44" t="s">
        <v>1481</v>
      </c>
      <c r="F1075" s="44"/>
      <c r="G1075" s="44" t="s">
        <v>1466</v>
      </c>
      <c r="H1075" s="44" t="s">
        <v>7652</v>
      </c>
      <c r="I1075" s="46" t="s">
        <v>7651</v>
      </c>
      <c r="J1075" s="46"/>
      <c r="K1075" s="46"/>
      <c r="L1075" s="46"/>
      <c r="M1075" s="46"/>
      <c r="N1075" s="46"/>
      <c r="O1075" s="44"/>
      <c r="P1075" s="44"/>
      <c r="Q1075" s="44" t="s">
        <v>1463</v>
      </c>
      <c r="R1075" s="44" t="s">
        <v>1463</v>
      </c>
      <c r="S1075" s="43"/>
      <c r="T1075" s="44"/>
    </row>
    <row r="1076" spans="1:20" ht="26.45">
      <c r="A1076" s="47" t="s">
        <v>1195</v>
      </c>
      <c r="B1076" s="47" t="s">
        <v>7653</v>
      </c>
      <c r="C1076" s="48" t="s">
        <v>1196</v>
      </c>
      <c r="D1076" s="47" t="s">
        <v>1419</v>
      </c>
      <c r="E1076" s="47" t="s">
        <v>1481</v>
      </c>
      <c r="F1076" s="47"/>
      <c r="G1076" s="47" t="s">
        <v>1466</v>
      </c>
      <c r="H1076" s="47" t="s">
        <v>7654</v>
      </c>
      <c r="I1076" s="50" t="s">
        <v>1196</v>
      </c>
      <c r="J1076" s="50" t="s">
        <v>7655</v>
      </c>
      <c r="K1076" s="50" t="s">
        <v>2061</v>
      </c>
      <c r="L1076" s="50" t="s">
        <v>1474</v>
      </c>
      <c r="M1076" s="50" t="s">
        <v>7656</v>
      </c>
      <c r="N1076" s="50" t="s">
        <v>1641</v>
      </c>
      <c r="O1076" s="47" t="s">
        <v>7657</v>
      </c>
      <c r="P1076" s="47" t="s">
        <v>7658</v>
      </c>
      <c r="Q1076" s="47" t="s">
        <v>1463</v>
      </c>
      <c r="R1076" s="47" t="s">
        <v>1463</v>
      </c>
      <c r="S1076" s="43"/>
      <c r="T1076" s="49">
        <v>45621</v>
      </c>
    </row>
    <row r="1077" spans="1:20" ht="26.45">
      <c r="A1077" s="44" t="s">
        <v>422</v>
      </c>
      <c r="B1077" s="44" t="s">
        <v>7659</v>
      </c>
      <c r="C1077" s="45" t="s">
        <v>1197</v>
      </c>
      <c r="D1077" s="44" t="s">
        <v>1419</v>
      </c>
      <c r="E1077" s="44" t="s">
        <v>1481</v>
      </c>
      <c r="F1077" s="44"/>
      <c r="G1077" s="44" t="s">
        <v>1687</v>
      </c>
      <c r="H1077" s="44" t="s">
        <v>7660</v>
      </c>
      <c r="I1077" s="46" t="s">
        <v>7661</v>
      </c>
      <c r="J1077" s="46" t="s">
        <v>7662</v>
      </c>
      <c r="K1077" s="46" t="s">
        <v>2061</v>
      </c>
      <c r="L1077" s="46" t="s">
        <v>1474</v>
      </c>
      <c r="M1077" s="46" t="s">
        <v>7663</v>
      </c>
      <c r="N1077" s="46" t="s">
        <v>1641</v>
      </c>
      <c r="O1077" s="44" t="s">
        <v>7664</v>
      </c>
      <c r="P1077" s="44" t="s">
        <v>7665</v>
      </c>
      <c r="Q1077" s="44" t="s">
        <v>1463</v>
      </c>
      <c r="R1077" s="44" t="s">
        <v>1463</v>
      </c>
      <c r="S1077" s="43"/>
      <c r="T1077" s="51">
        <v>45600</v>
      </c>
    </row>
    <row r="1078" spans="1:20" ht="26.45">
      <c r="A1078" s="47" t="s">
        <v>423</v>
      </c>
      <c r="B1078" s="47" t="s">
        <v>7666</v>
      </c>
      <c r="C1078" s="48" t="s">
        <v>1198</v>
      </c>
      <c r="D1078" s="47" t="s">
        <v>1420</v>
      </c>
      <c r="E1078" s="47" t="s">
        <v>1481</v>
      </c>
      <c r="F1078" s="47"/>
      <c r="G1078" s="47" t="s">
        <v>1466</v>
      </c>
      <c r="H1078" s="47" t="s">
        <v>7667</v>
      </c>
      <c r="I1078" s="50" t="s">
        <v>7668</v>
      </c>
      <c r="J1078" s="50" t="s">
        <v>7669</v>
      </c>
      <c r="K1078" s="50" t="s">
        <v>7670</v>
      </c>
      <c r="L1078" s="50" t="s">
        <v>1504</v>
      </c>
      <c r="M1078" s="50" t="s">
        <v>7671</v>
      </c>
      <c r="N1078" s="50" t="s">
        <v>1641</v>
      </c>
      <c r="O1078" s="47" t="s">
        <v>7672</v>
      </c>
      <c r="P1078" s="47" t="s">
        <v>7673</v>
      </c>
      <c r="Q1078" s="47" t="s">
        <v>1463</v>
      </c>
      <c r="R1078" s="47" t="s">
        <v>1463</v>
      </c>
      <c r="S1078" s="43"/>
      <c r="T1078" s="49">
        <v>45377</v>
      </c>
    </row>
    <row r="1079" spans="1:20" ht="26.45">
      <c r="A1079" s="44" t="s">
        <v>424</v>
      </c>
      <c r="B1079" s="44" t="s">
        <v>7674</v>
      </c>
      <c r="C1079" s="45" t="s">
        <v>1199</v>
      </c>
      <c r="D1079" s="44" t="s">
        <v>1420</v>
      </c>
      <c r="E1079" s="44" t="s">
        <v>1481</v>
      </c>
      <c r="F1079" s="44"/>
      <c r="G1079" s="44" t="s">
        <v>1687</v>
      </c>
      <c r="H1079" s="44" t="s">
        <v>7675</v>
      </c>
      <c r="I1079" s="46" t="s">
        <v>7676</v>
      </c>
      <c r="J1079" s="46" t="s">
        <v>7677</v>
      </c>
      <c r="K1079" s="46" t="s">
        <v>7670</v>
      </c>
      <c r="L1079" s="46" t="s">
        <v>2117</v>
      </c>
      <c r="M1079" s="46" t="s">
        <v>7678</v>
      </c>
      <c r="N1079" s="46" t="s">
        <v>1641</v>
      </c>
      <c r="O1079" s="44" t="s">
        <v>7679</v>
      </c>
      <c r="P1079" s="44" t="s">
        <v>7680</v>
      </c>
      <c r="Q1079" s="44" t="s">
        <v>1695</v>
      </c>
      <c r="R1079" s="44" t="s">
        <v>1463</v>
      </c>
      <c r="S1079" s="43"/>
      <c r="T1079" s="51">
        <v>45554</v>
      </c>
    </row>
    <row r="1080" spans="1:20" ht="26.45">
      <c r="A1080" s="47" t="s">
        <v>425</v>
      </c>
      <c r="B1080" s="47" t="s">
        <v>7681</v>
      </c>
      <c r="C1080" s="48" t="s">
        <v>1200</v>
      </c>
      <c r="D1080" s="47" t="s">
        <v>1419</v>
      </c>
      <c r="E1080" s="47" t="s">
        <v>1481</v>
      </c>
      <c r="F1080" s="47"/>
      <c r="G1080" s="47" t="s">
        <v>1466</v>
      </c>
      <c r="H1080" s="47" t="s">
        <v>7682</v>
      </c>
      <c r="I1080" s="50" t="s">
        <v>1200</v>
      </c>
      <c r="J1080" s="50" t="s">
        <v>7683</v>
      </c>
      <c r="K1080" s="50" t="s">
        <v>1493</v>
      </c>
      <c r="L1080" s="50" t="s">
        <v>1474</v>
      </c>
      <c r="M1080" s="50" t="s">
        <v>7684</v>
      </c>
      <c r="N1080" s="50" t="s">
        <v>1516</v>
      </c>
      <c r="O1080" s="47" t="s">
        <v>7685</v>
      </c>
      <c r="P1080" s="47" t="s">
        <v>7686</v>
      </c>
      <c r="Q1080" s="47" t="s">
        <v>1463</v>
      </c>
      <c r="R1080" s="47" t="s">
        <v>1463</v>
      </c>
      <c r="S1080" s="43"/>
      <c r="T1080" s="49">
        <v>45622</v>
      </c>
    </row>
    <row r="1081" spans="1:20" ht="26.45">
      <c r="A1081" s="44" t="s">
        <v>7687</v>
      </c>
      <c r="B1081" s="44" t="s">
        <v>7688</v>
      </c>
      <c r="C1081" s="45" t="s">
        <v>7689</v>
      </c>
      <c r="D1081" s="44" t="s">
        <v>1419</v>
      </c>
      <c r="E1081" s="44" t="s">
        <v>1481</v>
      </c>
      <c r="F1081" s="44"/>
      <c r="G1081" s="44" t="s">
        <v>1466</v>
      </c>
      <c r="H1081" s="44"/>
      <c r="I1081" s="46" t="s">
        <v>7689</v>
      </c>
      <c r="J1081" s="46" t="s">
        <v>7690</v>
      </c>
      <c r="K1081" s="46" t="s">
        <v>2213</v>
      </c>
      <c r="L1081" s="46" t="s">
        <v>1504</v>
      </c>
      <c r="M1081" s="46" t="s">
        <v>7691</v>
      </c>
      <c r="N1081" s="46" t="s">
        <v>1744</v>
      </c>
      <c r="O1081" s="44" t="s">
        <v>2262</v>
      </c>
      <c r="P1081" s="44"/>
      <c r="Q1081" s="44" t="s">
        <v>1463</v>
      </c>
      <c r="R1081" s="44" t="s">
        <v>1463</v>
      </c>
      <c r="S1081" s="43"/>
      <c r="T1081" s="44"/>
    </row>
    <row r="1082" spans="1:20" ht="26.45">
      <c r="A1082" s="47" t="s">
        <v>7692</v>
      </c>
      <c r="B1082" s="47" t="s">
        <v>7693</v>
      </c>
      <c r="C1082" s="48" t="s">
        <v>7694</v>
      </c>
      <c r="D1082" s="47" t="s">
        <v>1419</v>
      </c>
      <c r="E1082" s="47" t="s">
        <v>1481</v>
      </c>
      <c r="F1082" s="47"/>
      <c r="G1082" s="47" t="s">
        <v>1466</v>
      </c>
      <c r="H1082" s="47" t="s">
        <v>7695</v>
      </c>
      <c r="I1082" s="50" t="s">
        <v>7694</v>
      </c>
      <c r="J1082" s="50" t="s">
        <v>7696</v>
      </c>
      <c r="K1082" s="50" t="s">
        <v>1503</v>
      </c>
      <c r="L1082" s="50" t="s">
        <v>1504</v>
      </c>
      <c r="M1082" s="50" t="s">
        <v>7697</v>
      </c>
      <c r="N1082" s="50" t="s">
        <v>1744</v>
      </c>
      <c r="O1082" s="47" t="s">
        <v>7698</v>
      </c>
      <c r="P1082" s="47" t="s">
        <v>7699</v>
      </c>
      <c r="Q1082" s="47" t="s">
        <v>1463</v>
      </c>
      <c r="R1082" s="47" t="s">
        <v>1463</v>
      </c>
      <c r="S1082" s="43"/>
      <c r="T1082" s="49">
        <v>44941</v>
      </c>
    </row>
    <row r="1083" spans="1:20" ht="26.45">
      <c r="A1083" s="44" t="s">
        <v>7700</v>
      </c>
      <c r="B1083" s="44" t="s">
        <v>7701</v>
      </c>
      <c r="C1083" s="45" t="s">
        <v>7702</v>
      </c>
      <c r="D1083" s="44" t="s">
        <v>1419</v>
      </c>
      <c r="E1083" s="44" t="s">
        <v>1481</v>
      </c>
      <c r="F1083" s="44"/>
      <c r="G1083" s="44" t="s">
        <v>1466</v>
      </c>
      <c r="H1083" s="44" t="s">
        <v>7703</v>
      </c>
      <c r="I1083" s="46" t="s">
        <v>7702</v>
      </c>
      <c r="J1083" s="46" t="s">
        <v>7704</v>
      </c>
      <c r="K1083" s="46" t="s">
        <v>1549</v>
      </c>
      <c r="L1083" s="46" t="s">
        <v>1474</v>
      </c>
      <c r="M1083" s="46" t="s">
        <v>7705</v>
      </c>
      <c r="N1083" s="46" t="s">
        <v>1729</v>
      </c>
      <c r="O1083" s="44" t="s">
        <v>7706</v>
      </c>
      <c r="P1083" s="44" t="s">
        <v>7707</v>
      </c>
      <c r="Q1083" s="44" t="s">
        <v>1463</v>
      </c>
      <c r="R1083" s="44" t="s">
        <v>1463</v>
      </c>
      <c r="S1083" s="43"/>
      <c r="T1083" s="51">
        <v>44911</v>
      </c>
    </row>
    <row r="1084" spans="1:20" ht="26.45">
      <c r="A1084" s="47" t="s">
        <v>426</v>
      </c>
      <c r="B1084" s="47" t="s">
        <v>7708</v>
      </c>
      <c r="C1084" s="48" t="s">
        <v>1201</v>
      </c>
      <c r="D1084" s="47" t="s">
        <v>1420</v>
      </c>
      <c r="E1084" s="47" t="s">
        <v>1481</v>
      </c>
      <c r="F1084" s="47"/>
      <c r="G1084" s="47" t="s">
        <v>1687</v>
      </c>
      <c r="H1084" s="47" t="s">
        <v>7709</v>
      </c>
      <c r="I1084" s="50" t="s">
        <v>7710</v>
      </c>
      <c r="J1084" s="50" t="s">
        <v>7711</v>
      </c>
      <c r="K1084" s="50" t="s">
        <v>7712</v>
      </c>
      <c r="L1084" s="50" t="s">
        <v>1504</v>
      </c>
      <c r="M1084" s="50" t="s">
        <v>7713</v>
      </c>
      <c r="N1084" s="50" t="s">
        <v>1531</v>
      </c>
      <c r="O1084" s="47" t="s">
        <v>7714</v>
      </c>
      <c r="P1084" s="47" t="s">
        <v>7715</v>
      </c>
      <c r="Q1084" s="47" t="s">
        <v>1695</v>
      </c>
      <c r="R1084" s="47" t="s">
        <v>1463</v>
      </c>
      <c r="S1084" s="43"/>
      <c r="T1084" s="49">
        <v>45330</v>
      </c>
    </row>
    <row r="1085" spans="1:20">
      <c r="A1085" s="44" t="s">
        <v>7716</v>
      </c>
      <c r="B1085" s="44" t="s">
        <v>7717</v>
      </c>
      <c r="C1085" s="45" t="s">
        <v>7718</v>
      </c>
      <c r="D1085" s="44" t="s">
        <v>1414</v>
      </c>
      <c r="E1085" s="44" t="s">
        <v>1460</v>
      </c>
      <c r="F1085" s="51">
        <v>41758.9118902431</v>
      </c>
      <c r="G1085" s="44" t="s">
        <v>1466</v>
      </c>
      <c r="H1085" s="44"/>
      <c r="I1085" s="46" t="s">
        <v>7718</v>
      </c>
      <c r="J1085" s="46" t="s">
        <v>7719</v>
      </c>
      <c r="K1085" s="46" t="s">
        <v>2764</v>
      </c>
      <c r="L1085" s="46" t="s">
        <v>1504</v>
      </c>
      <c r="M1085" s="46" t="s">
        <v>7720</v>
      </c>
      <c r="N1085" s="46" t="s">
        <v>1729</v>
      </c>
      <c r="O1085" s="44" t="s">
        <v>7721</v>
      </c>
      <c r="P1085" s="44"/>
      <c r="Q1085" s="44" t="s">
        <v>1463</v>
      </c>
      <c r="R1085" s="44" t="s">
        <v>1463</v>
      </c>
      <c r="S1085" s="43"/>
      <c r="T1085" s="51">
        <v>42697</v>
      </c>
    </row>
    <row r="1086" spans="1:20" ht="26.45">
      <c r="A1086" s="47" t="s">
        <v>427</v>
      </c>
      <c r="B1086" s="47" t="s">
        <v>7722</v>
      </c>
      <c r="C1086" s="48" t="s">
        <v>1202</v>
      </c>
      <c r="D1086" s="47" t="s">
        <v>1419</v>
      </c>
      <c r="E1086" s="47" t="s">
        <v>1481</v>
      </c>
      <c r="F1086" s="47"/>
      <c r="G1086" s="47" t="s">
        <v>1687</v>
      </c>
      <c r="H1086" s="47" t="s">
        <v>7723</v>
      </c>
      <c r="I1086" s="50" t="s">
        <v>7724</v>
      </c>
      <c r="J1086" s="50" t="s">
        <v>7725</v>
      </c>
      <c r="K1086" s="50" t="s">
        <v>7726</v>
      </c>
      <c r="L1086" s="50" t="s">
        <v>1504</v>
      </c>
      <c r="M1086" s="50" t="s">
        <v>7727</v>
      </c>
      <c r="N1086" s="50" t="s">
        <v>1495</v>
      </c>
      <c r="O1086" s="47" t="s">
        <v>7728</v>
      </c>
      <c r="P1086" s="47" t="s">
        <v>7729</v>
      </c>
      <c r="Q1086" s="47" t="s">
        <v>1695</v>
      </c>
      <c r="R1086" s="47" t="s">
        <v>1463</v>
      </c>
      <c r="S1086" s="43"/>
      <c r="T1086" s="49">
        <v>45712</v>
      </c>
    </row>
    <row r="1087" spans="1:20">
      <c r="A1087" s="44" t="s">
        <v>7730</v>
      </c>
      <c r="B1087" s="44"/>
      <c r="C1087" s="45" t="s">
        <v>7731</v>
      </c>
      <c r="D1087" s="44" t="s">
        <v>1419</v>
      </c>
      <c r="E1087" s="44" t="s">
        <v>1460</v>
      </c>
      <c r="F1087" s="51">
        <v>42452.690436458302</v>
      </c>
      <c r="G1087" s="44" t="s">
        <v>1466</v>
      </c>
      <c r="H1087" s="44"/>
      <c r="I1087" s="46"/>
      <c r="J1087" s="46"/>
      <c r="K1087" s="46"/>
      <c r="L1087" s="46"/>
      <c r="M1087" s="46"/>
      <c r="N1087" s="46"/>
      <c r="O1087" s="44"/>
      <c r="P1087" s="44"/>
      <c r="Q1087" s="44" t="s">
        <v>1463</v>
      </c>
      <c r="R1087" s="44" t="s">
        <v>1463</v>
      </c>
      <c r="S1087" s="43"/>
      <c r="T1087" s="44"/>
    </row>
    <row r="1088" spans="1:20">
      <c r="A1088" s="47" t="s">
        <v>7732</v>
      </c>
      <c r="B1088" s="47"/>
      <c r="C1088" s="48" t="s">
        <v>7733</v>
      </c>
      <c r="D1088" s="47" t="s">
        <v>1432</v>
      </c>
      <c r="E1088" s="47" t="s">
        <v>1460</v>
      </c>
      <c r="F1088" s="49">
        <v>41457.382442939801</v>
      </c>
      <c r="G1088" s="47" t="s">
        <v>1466</v>
      </c>
      <c r="H1088" s="47"/>
      <c r="I1088" s="50"/>
      <c r="J1088" s="50"/>
      <c r="K1088" s="50"/>
      <c r="L1088" s="50"/>
      <c r="M1088" s="50"/>
      <c r="N1088" s="50"/>
      <c r="O1088" s="47"/>
      <c r="P1088" s="47"/>
      <c r="Q1088" s="47" t="s">
        <v>1463</v>
      </c>
      <c r="R1088" s="47" t="s">
        <v>1463</v>
      </c>
      <c r="S1088" s="43"/>
      <c r="T1088" s="47"/>
    </row>
    <row r="1089" spans="1:20" ht="26.45">
      <c r="A1089" s="44" t="s">
        <v>1203</v>
      </c>
      <c r="B1089" s="44" t="s">
        <v>7734</v>
      </c>
      <c r="C1089" s="45" t="s">
        <v>1204</v>
      </c>
      <c r="D1089" s="44" t="s">
        <v>1432</v>
      </c>
      <c r="E1089" s="44" t="s">
        <v>1481</v>
      </c>
      <c r="F1089" s="44"/>
      <c r="G1089" s="44" t="s">
        <v>1466</v>
      </c>
      <c r="H1089" s="44" t="s">
        <v>7735</v>
      </c>
      <c r="I1089" s="46" t="s">
        <v>7736</v>
      </c>
      <c r="J1089" s="46" t="s">
        <v>7737</v>
      </c>
      <c r="K1089" s="46" t="s">
        <v>7738</v>
      </c>
      <c r="L1089" s="46" t="s">
        <v>1504</v>
      </c>
      <c r="M1089" s="46" t="s">
        <v>7739</v>
      </c>
      <c r="N1089" s="46" t="s">
        <v>1641</v>
      </c>
      <c r="O1089" s="44"/>
      <c r="P1089" s="44" t="s">
        <v>7740</v>
      </c>
      <c r="Q1089" s="44" t="s">
        <v>1463</v>
      </c>
      <c r="R1089" s="44" t="s">
        <v>1463</v>
      </c>
      <c r="S1089" s="43"/>
      <c r="T1089" s="51">
        <v>45628</v>
      </c>
    </row>
    <row r="1090" spans="1:20" ht="26.45">
      <c r="A1090" s="47" t="s">
        <v>428</v>
      </c>
      <c r="B1090" s="47" t="s">
        <v>7741</v>
      </c>
      <c r="C1090" s="48" t="s">
        <v>1205</v>
      </c>
      <c r="D1090" s="47" t="s">
        <v>1432</v>
      </c>
      <c r="E1090" s="47" t="s">
        <v>1481</v>
      </c>
      <c r="F1090" s="47"/>
      <c r="G1090" s="47" t="s">
        <v>1687</v>
      </c>
      <c r="H1090" s="47" t="s">
        <v>7742</v>
      </c>
      <c r="I1090" s="50" t="s">
        <v>7743</v>
      </c>
      <c r="J1090" s="50" t="s">
        <v>7744</v>
      </c>
      <c r="K1090" s="50" t="s">
        <v>1948</v>
      </c>
      <c r="L1090" s="50" t="s">
        <v>1504</v>
      </c>
      <c r="M1090" s="50" t="s">
        <v>7745</v>
      </c>
      <c r="N1090" s="50" t="s">
        <v>1531</v>
      </c>
      <c r="O1090" s="47" t="s">
        <v>7746</v>
      </c>
      <c r="P1090" s="47" t="s">
        <v>7747</v>
      </c>
      <c r="Q1090" s="47" t="s">
        <v>1695</v>
      </c>
      <c r="R1090" s="47" t="s">
        <v>1463</v>
      </c>
      <c r="S1090" s="43"/>
      <c r="T1090" s="49">
        <v>45665</v>
      </c>
    </row>
    <row r="1091" spans="1:20">
      <c r="A1091" s="44" t="s">
        <v>7748</v>
      </c>
      <c r="B1091" s="44" t="s">
        <v>7749</v>
      </c>
      <c r="C1091" s="45" t="s">
        <v>7750</v>
      </c>
      <c r="D1091" s="44" t="s">
        <v>1410</v>
      </c>
      <c r="E1091" s="44" t="s">
        <v>1481</v>
      </c>
      <c r="F1091" s="44"/>
      <c r="G1091" s="44" t="s">
        <v>1466</v>
      </c>
      <c r="H1091" s="44" t="s">
        <v>7751</v>
      </c>
      <c r="I1091" s="46" t="s">
        <v>7750</v>
      </c>
      <c r="J1091" s="46"/>
      <c r="K1091" s="46"/>
      <c r="L1091" s="46"/>
      <c r="M1091" s="46"/>
      <c r="N1091" s="46"/>
      <c r="O1091" s="44" t="s">
        <v>7752</v>
      </c>
      <c r="P1091" s="44"/>
      <c r="Q1091" s="44" t="s">
        <v>1463</v>
      </c>
      <c r="R1091" s="44" t="s">
        <v>1463</v>
      </c>
      <c r="S1091" s="43"/>
      <c r="T1091" s="44"/>
    </row>
    <row r="1092" spans="1:20">
      <c r="A1092" s="47" t="s">
        <v>7753</v>
      </c>
      <c r="B1092" s="47"/>
      <c r="C1092" s="48" t="s">
        <v>7754</v>
      </c>
      <c r="D1092" s="47" t="s">
        <v>1428</v>
      </c>
      <c r="E1092" s="47" t="s">
        <v>1460</v>
      </c>
      <c r="F1092" s="49">
        <v>41457.382441585702</v>
      </c>
      <c r="G1092" s="47" t="s">
        <v>1466</v>
      </c>
      <c r="H1092" s="47"/>
      <c r="I1092" s="50"/>
      <c r="J1092" s="50"/>
      <c r="K1092" s="50"/>
      <c r="L1092" s="50"/>
      <c r="M1092" s="50"/>
      <c r="N1092" s="50"/>
      <c r="O1092" s="47"/>
      <c r="P1092" s="47"/>
      <c r="Q1092" s="47" t="s">
        <v>1463</v>
      </c>
      <c r="R1092" s="47" t="s">
        <v>1463</v>
      </c>
      <c r="S1092" s="43"/>
      <c r="T1092" s="47"/>
    </row>
    <row r="1093" spans="1:20">
      <c r="A1093" s="44" t="s">
        <v>7755</v>
      </c>
      <c r="B1093" s="44" t="s">
        <v>7756</v>
      </c>
      <c r="C1093" s="45" t="s">
        <v>7757</v>
      </c>
      <c r="D1093" s="44" t="s">
        <v>1419</v>
      </c>
      <c r="E1093" s="44" t="s">
        <v>1460</v>
      </c>
      <c r="F1093" s="51">
        <v>41457.382442789298</v>
      </c>
      <c r="G1093" s="44" t="s">
        <v>1466</v>
      </c>
      <c r="H1093" s="44" t="s">
        <v>7758</v>
      </c>
      <c r="I1093" s="46" t="s">
        <v>7757</v>
      </c>
      <c r="J1093" s="46" t="s">
        <v>7759</v>
      </c>
      <c r="K1093" s="46" t="s">
        <v>7760</v>
      </c>
      <c r="L1093" s="46" t="s">
        <v>1504</v>
      </c>
      <c r="M1093" s="46" t="s">
        <v>7761</v>
      </c>
      <c r="N1093" s="46" t="s">
        <v>1729</v>
      </c>
      <c r="O1093" s="44" t="s">
        <v>7762</v>
      </c>
      <c r="P1093" s="44"/>
      <c r="Q1093" s="44" t="s">
        <v>1463</v>
      </c>
      <c r="R1093" s="44" t="s">
        <v>1463</v>
      </c>
      <c r="S1093" s="43"/>
      <c r="T1093" s="51">
        <v>41491</v>
      </c>
    </row>
    <row r="1094" spans="1:20" ht="26.45">
      <c r="A1094" s="47" t="s">
        <v>429</v>
      </c>
      <c r="B1094" s="47" t="s">
        <v>7763</v>
      </c>
      <c r="C1094" s="48" t="s">
        <v>1206</v>
      </c>
      <c r="D1094" s="47" t="s">
        <v>1428</v>
      </c>
      <c r="E1094" s="47" t="s">
        <v>1481</v>
      </c>
      <c r="F1094" s="47"/>
      <c r="G1094" s="47" t="s">
        <v>1687</v>
      </c>
      <c r="H1094" s="47" t="s">
        <v>7764</v>
      </c>
      <c r="I1094" s="50" t="s">
        <v>7765</v>
      </c>
      <c r="J1094" s="50" t="s">
        <v>7766</v>
      </c>
      <c r="K1094" s="50" t="s">
        <v>3050</v>
      </c>
      <c r="L1094" s="50" t="s">
        <v>1504</v>
      </c>
      <c r="M1094" s="50" t="s">
        <v>7767</v>
      </c>
      <c r="N1094" s="50" t="s">
        <v>1531</v>
      </c>
      <c r="O1094" s="47" t="s">
        <v>7768</v>
      </c>
      <c r="P1094" s="47" t="s">
        <v>7769</v>
      </c>
      <c r="Q1094" s="47" t="s">
        <v>1463</v>
      </c>
      <c r="R1094" s="47" t="s">
        <v>1463</v>
      </c>
      <c r="S1094" s="43"/>
      <c r="T1094" s="49">
        <v>45383</v>
      </c>
    </row>
    <row r="1095" spans="1:20" ht="26.45">
      <c r="A1095" s="44" t="s">
        <v>430</v>
      </c>
      <c r="B1095" s="44" t="s">
        <v>7770</v>
      </c>
      <c r="C1095" s="45" t="s">
        <v>1207</v>
      </c>
      <c r="D1095" s="44" t="s">
        <v>1420</v>
      </c>
      <c r="E1095" s="44" t="s">
        <v>1481</v>
      </c>
      <c r="F1095" s="44"/>
      <c r="G1095" s="44" t="s">
        <v>1687</v>
      </c>
      <c r="H1095" s="44" t="s">
        <v>7771</v>
      </c>
      <c r="I1095" s="46" t="s">
        <v>7772</v>
      </c>
      <c r="J1095" s="46" t="s">
        <v>7773</v>
      </c>
      <c r="K1095" s="46" t="s">
        <v>7774</v>
      </c>
      <c r="L1095" s="46" t="s">
        <v>1504</v>
      </c>
      <c r="M1095" s="46" t="s">
        <v>7775</v>
      </c>
      <c r="N1095" s="46" t="s">
        <v>1531</v>
      </c>
      <c r="O1095" s="44" t="s">
        <v>7776</v>
      </c>
      <c r="P1095" s="44" t="s">
        <v>7777</v>
      </c>
      <c r="Q1095" s="44" t="s">
        <v>1695</v>
      </c>
      <c r="R1095" s="44" t="s">
        <v>1463</v>
      </c>
      <c r="S1095" s="43"/>
      <c r="T1095" s="51">
        <v>45531</v>
      </c>
    </row>
    <row r="1096" spans="1:20" ht="26.45">
      <c r="A1096" s="47" t="s">
        <v>1208</v>
      </c>
      <c r="B1096" s="47" t="s">
        <v>7778</v>
      </c>
      <c r="C1096" s="48" t="s">
        <v>1209</v>
      </c>
      <c r="D1096" s="47" t="s">
        <v>1419</v>
      </c>
      <c r="E1096" s="47" t="s">
        <v>1481</v>
      </c>
      <c r="F1096" s="47"/>
      <c r="G1096" s="47" t="s">
        <v>1466</v>
      </c>
      <c r="H1096" s="47" t="s">
        <v>7779</v>
      </c>
      <c r="I1096" s="50" t="s">
        <v>1209</v>
      </c>
      <c r="J1096" s="50" t="s">
        <v>7780</v>
      </c>
      <c r="K1096" s="50" t="s">
        <v>1975</v>
      </c>
      <c r="L1096" s="50" t="s">
        <v>1474</v>
      </c>
      <c r="M1096" s="50" t="s">
        <v>7781</v>
      </c>
      <c r="N1096" s="50" t="s">
        <v>1744</v>
      </c>
      <c r="O1096" s="47" t="s">
        <v>7782</v>
      </c>
      <c r="P1096" s="47" t="s">
        <v>7783</v>
      </c>
      <c r="Q1096" s="47" t="s">
        <v>1463</v>
      </c>
      <c r="R1096" s="47" t="s">
        <v>1463</v>
      </c>
      <c r="S1096" s="43"/>
      <c r="T1096" s="49">
        <v>45384</v>
      </c>
    </row>
    <row r="1097" spans="1:20" ht="26.45">
      <c r="A1097" s="44" t="s">
        <v>1210</v>
      </c>
      <c r="B1097" s="44" t="s">
        <v>7784</v>
      </c>
      <c r="C1097" s="45" t="s">
        <v>1211</v>
      </c>
      <c r="D1097" s="44" t="s">
        <v>1419</v>
      </c>
      <c r="E1097" s="44" t="s">
        <v>1481</v>
      </c>
      <c r="F1097" s="44"/>
      <c r="G1097" s="44" t="s">
        <v>1466</v>
      </c>
      <c r="H1097" s="44" t="s">
        <v>7785</v>
      </c>
      <c r="I1097" s="46" t="s">
        <v>7786</v>
      </c>
      <c r="J1097" s="46" t="s">
        <v>7787</v>
      </c>
      <c r="K1097" s="46" t="s">
        <v>1493</v>
      </c>
      <c r="L1097" s="46" t="s">
        <v>1474</v>
      </c>
      <c r="M1097" s="46" t="s">
        <v>7788</v>
      </c>
      <c r="N1097" s="46" t="s">
        <v>1495</v>
      </c>
      <c r="O1097" s="44" t="s">
        <v>7789</v>
      </c>
      <c r="P1097" s="44" t="s">
        <v>7790</v>
      </c>
      <c r="Q1097" s="44" t="s">
        <v>1463</v>
      </c>
      <c r="R1097" s="44" t="s">
        <v>1463</v>
      </c>
      <c r="S1097" s="43"/>
      <c r="T1097" s="51">
        <v>45380</v>
      </c>
    </row>
    <row r="1098" spans="1:20" ht="26.45">
      <c r="A1098" s="47" t="s">
        <v>431</v>
      </c>
      <c r="B1098" s="47" t="s">
        <v>7791</v>
      </c>
      <c r="C1098" s="48" t="s">
        <v>1212</v>
      </c>
      <c r="D1098" s="47" t="s">
        <v>1420</v>
      </c>
      <c r="E1098" s="47" t="s">
        <v>1481</v>
      </c>
      <c r="F1098" s="47"/>
      <c r="G1098" s="47" t="s">
        <v>1466</v>
      </c>
      <c r="H1098" s="47" t="s">
        <v>7792</v>
      </c>
      <c r="I1098" s="50" t="s">
        <v>7793</v>
      </c>
      <c r="J1098" s="50" t="s">
        <v>7794</v>
      </c>
      <c r="K1098" s="50" t="s">
        <v>3443</v>
      </c>
      <c r="L1098" s="50" t="s">
        <v>1504</v>
      </c>
      <c r="M1098" s="50" t="s">
        <v>7795</v>
      </c>
      <c r="N1098" s="50" t="s">
        <v>1476</v>
      </c>
      <c r="O1098" s="47" t="s">
        <v>7796</v>
      </c>
      <c r="P1098" s="47" t="s">
        <v>7797</v>
      </c>
      <c r="Q1098" s="47" t="s">
        <v>1463</v>
      </c>
      <c r="R1098" s="47" t="s">
        <v>1463</v>
      </c>
      <c r="S1098" s="43"/>
      <c r="T1098" s="49">
        <v>45554</v>
      </c>
    </row>
    <row r="1099" spans="1:20">
      <c r="A1099" s="44" t="s">
        <v>432</v>
      </c>
      <c r="B1099" s="44" t="s">
        <v>7798</v>
      </c>
      <c r="C1099" s="45" t="s">
        <v>1213</v>
      </c>
      <c r="D1099" s="44" t="s">
        <v>1419</v>
      </c>
      <c r="E1099" s="44" t="s">
        <v>1481</v>
      </c>
      <c r="F1099" s="44"/>
      <c r="G1099" s="44" t="s">
        <v>1466</v>
      </c>
      <c r="H1099" s="44" t="s">
        <v>7799</v>
      </c>
      <c r="I1099" s="46" t="s">
        <v>7800</v>
      </c>
      <c r="J1099" s="46" t="s">
        <v>7801</v>
      </c>
      <c r="K1099" s="46" t="s">
        <v>1493</v>
      </c>
      <c r="L1099" s="46" t="s">
        <v>1474</v>
      </c>
      <c r="M1099" s="46" t="s">
        <v>7802</v>
      </c>
      <c r="N1099" s="46" t="s">
        <v>1729</v>
      </c>
      <c r="O1099" s="44" t="s">
        <v>7803</v>
      </c>
      <c r="P1099" s="44"/>
      <c r="Q1099" s="44" t="s">
        <v>1463</v>
      </c>
      <c r="R1099" s="44" t="s">
        <v>1463</v>
      </c>
      <c r="S1099" s="43"/>
      <c r="T1099" s="51">
        <v>45663</v>
      </c>
    </row>
    <row r="1100" spans="1:20" ht="26.45">
      <c r="A1100" s="47" t="s">
        <v>433</v>
      </c>
      <c r="B1100" s="47" t="s">
        <v>7804</v>
      </c>
      <c r="C1100" s="48" t="s">
        <v>1214</v>
      </c>
      <c r="D1100" s="47" t="s">
        <v>1432</v>
      </c>
      <c r="E1100" s="47" t="s">
        <v>1481</v>
      </c>
      <c r="F1100" s="47"/>
      <c r="G1100" s="47" t="s">
        <v>1687</v>
      </c>
      <c r="H1100" s="47" t="s">
        <v>7805</v>
      </c>
      <c r="I1100" s="50" t="s">
        <v>7806</v>
      </c>
      <c r="J1100" s="50" t="s">
        <v>7807</v>
      </c>
      <c r="K1100" s="50" t="s">
        <v>6413</v>
      </c>
      <c r="L1100" s="50" t="s">
        <v>1474</v>
      </c>
      <c r="M1100" s="50" t="s">
        <v>7808</v>
      </c>
      <c r="N1100" s="50" t="s">
        <v>1531</v>
      </c>
      <c r="O1100" s="47" t="s">
        <v>7809</v>
      </c>
      <c r="P1100" s="47" t="s">
        <v>7810</v>
      </c>
      <c r="Q1100" s="47" t="s">
        <v>1695</v>
      </c>
      <c r="R1100" s="47" t="s">
        <v>1463</v>
      </c>
      <c r="S1100" s="43"/>
      <c r="T1100" s="49">
        <v>45673</v>
      </c>
    </row>
    <row r="1101" spans="1:20" ht="26.45">
      <c r="A1101" s="44" t="s">
        <v>434</v>
      </c>
      <c r="B1101" s="44" t="s">
        <v>7811</v>
      </c>
      <c r="C1101" s="45" t="s">
        <v>1215</v>
      </c>
      <c r="D1101" s="44" t="s">
        <v>1433</v>
      </c>
      <c r="E1101" s="44" t="s">
        <v>1481</v>
      </c>
      <c r="F1101" s="44"/>
      <c r="G1101" s="44" t="s">
        <v>1687</v>
      </c>
      <c r="H1101" s="44" t="s">
        <v>7812</v>
      </c>
      <c r="I1101" s="46" t="s">
        <v>7813</v>
      </c>
      <c r="J1101" s="46" t="s">
        <v>7814</v>
      </c>
      <c r="K1101" s="46" t="s">
        <v>7815</v>
      </c>
      <c r="L1101" s="46" t="s">
        <v>1474</v>
      </c>
      <c r="M1101" s="46" t="s">
        <v>7816</v>
      </c>
      <c r="N1101" s="46" t="s">
        <v>1641</v>
      </c>
      <c r="O1101" s="44" t="s">
        <v>7817</v>
      </c>
      <c r="P1101" s="44" t="s">
        <v>7818</v>
      </c>
      <c r="Q1101" s="44" t="s">
        <v>1695</v>
      </c>
      <c r="R1101" s="44" t="s">
        <v>1463</v>
      </c>
      <c r="S1101" s="43"/>
      <c r="T1101" s="51">
        <v>45533</v>
      </c>
    </row>
    <row r="1102" spans="1:20" ht="26.45">
      <c r="A1102" s="47" t="s">
        <v>435</v>
      </c>
      <c r="B1102" s="47" t="s">
        <v>7819</v>
      </c>
      <c r="C1102" s="48" t="s">
        <v>1216</v>
      </c>
      <c r="D1102" s="47" t="s">
        <v>1419</v>
      </c>
      <c r="E1102" s="47" t="s">
        <v>1481</v>
      </c>
      <c r="F1102" s="47"/>
      <c r="G1102" s="47" t="s">
        <v>1466</v>
      </c>
      <c r="H1102" s="47" t="s">
        <v>7820</v>
      </c>
      <c r="I1102" s="50" t="s">
        <v>7821</v>
      </c>
      <c r="J1102" s="50" t="s">
        <v>7822</v>
      </c>
      <c r="K1102" s="50" t="s">
        <v>2097</v>
      </c>
      <c r="L1102" s="50" t="s">
        <v>1474</v>
      </c>
      <c r="M1102" s="50" t="s">
        <v>7823</v>
      </c>
      <c r="N1102" s="50" t="s">
        <v>1516</v>
      </c>
      <c r="O1102" s="47" t="s">
        <v>7824</v>
      </c>
      <c r="P1102" s="47" t="s">
        <v>7825</v>
      </c>
      <c r="Q1102" s="47" t="s">
        <v>1463</v>
      </c>
      <c r="R1102" s="47" t="s">
        <v>1463</v>
      </c>
      <c r="S1102" s="43"/>
      <c r="T1102" s="49">
        <v>45625</v>
      </c>
    </row>
    <row r="1103" spans="1:20" ht="26.45">
      <c r="A1103" s="44" t="s">
        <v>436</v>
      </c>
      <c r="B1103" s="44" t="s">
        <v>7826</v>
      </c>
      <c r="C1103" s="45" t="s">
        <v>1217</v>
      </c>
      <c r="D1103" s="44" t="s">
        <v>1425</v>
      </c>
      <c r="E1103" s="44" t="s">
        <v>1481</v>
      </c>
      <c r="F1103" s="44"/>
      <c r="G1103" s="44" t="s">
        <v>1687</v>
      </c>
      <c r="H1103" s="44" t="s">
        <v>7827</v>
      </c>
      <c r="I1103" s="46" t="s">
        <v>7828</v>
      </c>
      <c r="J1103" s="46" t="s">
        <v>7829</v>
      </c>
      <c r="K1103" s="46" t="s">
        <v>7830</v>
      </c>
      <c r="L1103" s="46" t="s">
        <v>1504</v>
      </c>
      <c r="M1103" s="46" t="s">
        <v>7831</v>
      </c>
      <c r="N1103" s="46" t="s">
        <v>1495</v>
      </c>
      <c r="O1103" s="44" t="s">
        <v>7832</v>
      </c>
      <c r="P1103" s="44" t="s">
        <v>7833</v>
      </c>
      <c r="Q1103" s="44" t="s">
        <v>1463</v>
      </c>
      <c r="R1103" s="44" t="s">
        <v>1463</v>
      </c>
      <c r="S1103" s="43"/>
      <c r="T1103" s="51">
        <v>45376</v>
      </c>
    </row>
    <row r="1104" spans="1:20" ht="26.45">
      <c r="A1104" s="47" t="s">
        <v>437</v>
      </c>
      <c r="B1104" s="47" t="s">
        <v>7834</v>
      </c>
      <c r="C1104" s="48" t="s">
        <v>1218</v>
      </c>
      <c r="D1104" s="47" t="s">
        <v>1436</v>
      </c>
      <c r="E1104" s="47" t="s">
        <v>1481</v>
      </c>
      <c r="F1104" s="47"/>
      <c r="G1104" s="47" t="s">
        <v>1687</v>
      </c>
      <c r="H1104" s="47" t="s">
        <v>7835</v>
      </c>
      <c r="I1104" s="50" t="s">
        <v>7836</v>
      </c>
      <c r="J1104" s="50" t="s">
        <v>7837</v>
      </c>
      <c r="K1104" s="50" t="s">
        <v>7838</v>
      </c>
      <c r="L1104" s="50" t="s">
        <v>1504</v>
      </c>
      <c r="M1104" s="50" t="s">
        <v>7839</v>
      </c>
      <c r="N1104" s="50" t="s">
        <v>1629</v>
      </c>
      <c r="O1104" s="47" t="s">
        <v>7840</v>
      </c>
      <c r="P1104" s="47" t="s">
        <v>7841</v>
      </c>
      <c r="Q1104" s="47" t="s">
        <v>1695</v>
      </c>
      <c r="R1104" s="47" t="s">
        <v>1463</v>
      </c>
      <c r="S1104" s="43"/>
      <c r="T1104" s="49">
        <v>45331</v>
      </c>
    </row>
    <row r="1105" spans="1:20" ht="26.45">
      <c r="A1105" s="44" t="s">
        <v>7842</v>
      </c>
      <c r="B1105" s="44" t="s">
        <v>7843</v>
      </c>
      <c r="C1105" s="45" t="s">
        <v>7844</v>
      </c>
      <c r="D1105" s="44" t="s">
        <v>1419</v>
      </c>
      <c r="E1105" s="44" t="s">
        <v>1481</v>
      </c>
      <c r="F1105" s="44"/>
      <c r="G1105" s="44" t="s">
        <v>1466</v>
      </c>
      <c r="H1105" s="44" t="s">
        <v>7845</v>
      </c>
      <c r="I1105" s="46" t="s">
        <v>7844</v>
      </c>
      <c r="J1105" s="46" t="s">
        <v>7846</v>
      </c>
      <c r="K1105" s="46" t="s">
        <v>7847</v>
      </c>
      <c r="L1105" s="46" t="s">
        <v>1504</v>
      </c>
      <c r="M1105" s="46" t="s">
        <v>7848</v>
      </c>
      <c r="N1105" s="46" t="s">
        <v>1476</v>
      </c>
      <c r="O1105" s="44" t="s">
        <v>7849</v>
      </c>
      <c r="P1105" s="44"/>
      <c r="Q1105" s="44" t="s">
        <v>1463</v>
      </c>
      <c r="R1105" s="44" t="s">
        <v>1463</v>
      </c>
      <c r="S1105" s="43"/>
      <c r="T1105" s="51">
        <v>43452</v>
      </c>
    </row>
    <row r="1106" spans="1:20">
      <c r="A1106" s="47" t="s">
        <v>7850</v>
      </c>
      <c r="B1106" s="47"/>
      <c r="C1106" s="48" t="s">
        <v>7851</v>
      </c>
      <c r="D1106" s="47" t="s">
        <v>1419</v>
      </c>
      <c r="E1106" s="47" t="s">
        <v>1460</v>
      </c>
      <c r="F1106" s="49">
        <v>41457.382442476897</v>
      </c>
      <c r="G1106" s="47" t="s">
        <v>1466</v>
      </c>
      <c r="H1106" s="47"/>
      <c r="I1106" s="50"/>
      <c r="J1106" s="50"/>
      <c r="K1106" s="50"/>
      <c r="L1106" s="50"/>
      <c r="M1106" s="50"/>
      <c r="N1106" s="50"/>
      <c r="O1106" s="47"/>
      <c r="P1106" s="47"/>
      <c r="Q1106" s="47" t="s">
        <v>1463</v>
      </c>
      <c r="R1106" s="47" t="s">
        <v>1463</v>
      </c>
      <c r="S1106" s="43"/>
      <c r="T1106" s="47"/>
    </row>
    <row r="1107" spans="1:20" ht="26.45">
      <c r="A1107" s="44" t="s">
        <v>438</v>
      </c>
      <c r="B1107" s="44" t="s">
        <v>7852</v>
      </c>
      <c r="C1107" s="45" t="s">
        <v>1219</v>
      </c>
      <c r="D1107" s="44" t="s">
        <v>1419</v>
      </c>
      <c r="E1107" s="44" t="s">
        <v>1481</v>
      </c>
      <c r="F1107" s="44"/>
      <c r="G1107" s="44" t="s">
        <v>1466</v>
      </c>
      <c r="H1107" s="44" t="s">
        <v>7853</v>
      </c>
      <c r="I1107" s="46" t="s">
        <v>7854</v>
      </c>
      <c r="J1107" s="46" t="s">
        <v>7855</v>
      </c>
      <c r="K1107" s="46" t="s">
        <v>1493</v>
      </c>
      <c r="L1107" s="46" t="s">
        <v>1474</v>
      </c>
      <c r="M1107" s="46" t="s">
        <v>7856</v>
      </c>
      <c r="N1107" s="46" t="s">
        <v>1495</v>
      </c>
      <c r="O1107" s="44" t="s">
        <v>7857</v>
      </c>
      <c r="P1107" s="44" t="s">
        <v>7858</v>
      </c>
      <c r="Q1107" s="44" t="s">
        <v>1463</v>
      </c>
      <c r="R1107" s="44" t="s">
        <v>1463</v>
      </c>
      <c r="S1107" s="43"/>
      <c r="T1107" s="51">
        <v>45384</v>
      </c>
    </row>
    <row r="1108" spans="1:20" ht="26.45">
      <c r="A1108" s="47" t="s">
        <v>1220</v>
      </c>
      <c r="B1108" s="47" t="s">
        <v>7859</v>
      </c>
      <c r="C1108" s="48" t="s">
        <v>1221</v>
      </c>
      <c r="D1108" s="47" t="s">
        <v>1419</v>
      </c>
      <c r="E1108" s="47" t="s">
        <v>1481</v>
      </c>
      <c r="F1108" s="47"/>
      <c r="G1108" s="47" t="s">
        <v>1466</v>
      </c>
      <c r="H1108" s="47" t="s">
        <v>7860</v>
      </c>
      <c r="I1108" s="50" t="s">
        <v>1221</v>
      </c>
      <c r="J1108" s="50" t="s">
        <v>7861</v>
      </c>
      <c r="K1108" s="50" t="s">
        <v>1493</v>
      </c>
      <c r="L1108" s="50" t="s">
        <v>1474</v>
      </c>
      <c r="M1108" s="50" t="s">
        <v>7862</v>
      </c>
      <c r="N1108" s="50" t="s">
        <v>1495</v>
      </c>
      <c r="O1108" s="47" t="s">
        <v>7863</v>
      </c>
      <c r="P1108" s="47" t="s">
        <v>7864</v>
      </c>
      <c r="Q1108" s="47" t="s">
        <v>1463</v>
      </c>
      <c r="R1108" s="47" t="s">
        <v>1463</v>
      </c>
      <c r="S1108" s="43"/>
      <c r="T1108" s="49">
        <v>45384</v>
      </c>
    </row>
    <row r="1109" spans="1:20">
      <c r="A1109" s="44" t="s">
        <v>7865</v>
      </c>
      <c r="B1109" s="44"/>
      <c r="C1109" s="45" t="s">
        <v>7866</v>
      </c>
      <c r="D1109" s="44" t="s">
        <v>1419</v>
      </c>
      <c r="E1109" s="44" t="s">
        <v>1460</v>
      </c>
      <c r="F1109" s="51">
        <v>41474.6457900116</v>
      </c>
      <c r="G1109" s="44" t="s">
        <v>1663</v>
      </c>
      <c r="H1109" s="44"/>
      <c r="I1109" s="46"/>
      <c r="J1109" s="46"/>
      <c r="K1109" s="46"/>
      <c r="L1109" s="46"/>
      <c r="M1109" s="46"/>
      <c r="N1109" s="46"/>
      <c r="O1109" s="44"/>
      <c r="P1109" s="44"/>
      <c r="Q1109" s="44" t="s">
        <v>1463</v>
      </c>
      <c r="R1109" s="44" t="s">
        <v>1463</v>
      </c>
      <c r="S1109" s="43"/>
      <c r="T1109" s="44"/>
    </row>
    <row r="1110" spans="1:20">
      <c r="A1110" s="47" t="s">
        <v>7867</v>
      </c>
      <c r="B1110" s="47" t="s">
        <v>7868</v>
      </c>
      <c r="C1110" s="48" t="s">
        <v>7869</v>
      </c>
      <c r="D1110" s="47" t="s">
        <v>1414</v>
      </c>
      <c r="E1110" s="47" t="s">
        <v>1481</v>
      </c>
      <c r="F1110" s="47"/>
      <c r="G1110" s="47" t="s">
        <v>1466</v>
      </c>
      <c r="H1110" s="47" t="s">
        <v>7870</v>
      </c>
      <c r="I1110" s="50" t="s">
        <v>7871</v>
      </c>
      <c r="J1110" s="50" t="s">
        <v>7872</v>
      </c>
      <c r="K1110" s="50" t="s">
        <v>1484</v>
      </c>
      <c r="L1110" s="50" t="s">
        <v>1474</v>
      </c>
      <c r="M1110" s="50" t="s">
        <v>7873</v>
      </c>
      <c r="N1110" s="50" t="s">
        <v>1531</v>
      </c>
      <c r="O1110" s="47" t="s">
        <v>7874</v>
      </c>
      <c r="P1110" s="47"/>
      <c r="Q1110" s="47" t="s">
        <v>1463</v>
      </c>
      <c r="R1110" s="47" t="s">
        <v>1463</v>
      </c>
      <c r="S1110" s="43"/>
      <c r="T1110" s="49">
        <v>44748</v>
      </c>
    </row>
    <row r="1111" spans="1:20" ht="26.45">
      <c r="A1111" s="44" t="s">
        <v>439</v>
      </c>
      <c r="B1111" s="44" t="s">
        <v>7875</v>
      </c>
      <c r="C1111" s="45" t="s">
        <v>1222</v>
      </c>
      <c r="D1111" s="44" t="s">
        <v>1414</v>
      </c>
      <c r="E1111" s="44" t="s">
        <v>1481</v>
      </c>
      <c r="F1111" s="44"/>
      <c r="G1111" s="44" t="s">
        <v>1466</v>
      </c>
      <c r="H1111" s="44" t="s">
        <v>7876</v>
      </c>
      <c r="I1111" s="46" t="s">
        <v>7877</v>
      </c>
      <c r="J1111" s="46" t="s">
        <v>7878</v>
      </c>
      <c r="K1111" s="46" t="s">
        <v>2764</v>
      </c>
      <c r="L1111" s="46" t="s">
        <v>2117</v>
      </c>
      <c r="M1111" s="46" t="s">
        <v>7879</v>
      </c>
      <c r="N1111" s="46" t="s">
        <v>1629</v>
      </c>
      <c r="O1111" s="44" t="s">
        <v>7880</v>
      </c>
      <c r="P1111" s="44" t="s">
        <v>7881</v>
      </c>
      <c r="Q1111" s="44" t="s">
        <v>1463</v>
      </c>
      <c r="R1111" s="44" t="s">
        <v>1463</v>
      </c>
      <c r="S1111" s="43"/>
      <c r="T1111" s="51">
        <v>45646</v>
      </c>
    </row>
    <row r="1112" spans="1:20">
      <c r="A1112" s="47" t="s">
        <v>7882</v>
      </c>
      <c r="B1112" s="47"/>
      <c r="C1112" s="48" t="s">
        <v>7883</v>
      </c>
      <c r="D1112" s="47" t="s">
        <v>1419</v>
      </c>
      <c r="E1112" s="47" t="s">
        <v>1460</v>
      </c>
      <c r="F1112" s="49">
        <v>42401.908854895803</v>
      </c>
      <c r="G1112" s="47" t="s">
        <v>1461</v>
      </c>
      <c r="H1112" s="47"/>
      <c r="I1112" s="50"/>
      <c r="J1112" s="50"/>
      <c r="K1112" s="50"/>
      <c r="L1112" s="50"/>
      <c r="M1112" s="50"/>
      <c r="N1112" s="50"/>
      <c r="O1112" s="47"/>
      <c r="P1112" s="47"/>
      <c r="Q1112" s="47" t="s">
        <v>1463</v>
      </c>
      <c r="R1112" s="47" t="s">
        <v>1463</v>
      </c>
      <c r="S1112" s="43"/>
      <c r="T1112" s="47"/>
    </row>
    <row r="1113" spans="1:20" ht="26.45">
      <c r="A1113" s="44" t="s">
        <v>7884</v>
      </c>
      <c r="B1113" s="44" t="s">
        <v>7885</v>
      </c>
      <c r="C1113" s="45" t="s">
        <v>7883</v>
      </c>
      <c r="D1113" s="44" t="s">
        <v>1419</v>
      </c>
      <c r="E1113" s="44" t="s">
        <v>1481</v>
      </c>
      <c r="F1113" s="51">
        <v>42397.869198726898</v>
      </c>
      <c r="G1113" s="44" t="s">
        <v>1490</v>
      </c>
      <c r="H1113" s="44" t="s">
        <v>7886</v>
      </c>
      <c r="I1113" s="46" t="s">
        <v>7883</v>
      </c>
      <c r="J1113" s="46" t="s">
        <v>7887</v>
      </c>
      <c r="K1113" s="46" t="s">
        <v>1493</v>
      </c>
      <c r="L1113" s="46" t="s">
        <v>1504</v>
      </c>
      <c r="M1113" s="46" t="s">
        <v>7888</v>
      </c>
      <c r="N1113" s="46" t="s">
        <v>1495</v>
      </c>
      <c r="O1113" s="44" t="s">
        <v>7889</v>
      </c>
      <c r="P1113" s="44" t="s">
        <v>7890</v>
      </c>
      <c r="Q1113" s="44" t="s">
        <v>1463</v>
      </c>
      <c r="R1113" s="44" t="s">
        <v>1463</v>
      </c>
      <c r="S1113" s="43"/>
      <c r="T1113" s="51">
        <v>45676</v>
      </c>
    </row>
    <row r="1114" spans="1:20" ht="26.45">
      <c r="A1114" s="47" t="s">
        <v>1223</v>
      </c>
      <c r="B1114" s="47" t="s">
        <v>7891</v>
      </c>
      <c r="C1114" s="48" t="s">
        <v>1224</v>
      </c>
      <c r="D1114" s="47" t="s">
        <v>1419</v>
      </c>
      <c r="E1114" s="47" t="s">
        <v>1481</v>
      </c>
      <c r="F1114" s="47"/>
      <c r="G1114" s="47" t="s">
        <v>1466</v>
      </c>
      <c r="H1114" s="47" t="s">
        <v>7892</v>
      </c>
      <c r="I1114" s="50" t="s">
        <v>1224</v>
      </c>
      <c r="J1114" s="50" t="s">
        <v>7893</v>
      </c>
      <c r="K1114" s="50" t="s">
        <v>1523</v>
      </c>
      <c r="L1114" s="50" t="s">
        <v>1504</v>
      </c>
      <c r="M1114" s="50" t="s">
        <v>7894</v>
      </c>
      <c r="N1114" s="50" t="s">
        <v>1629</v>
      </c>
      <c r="O1114" s="47" t="s">
        <v>7895</v>
      </c>
      <c r="P1114" s="47" t="s">
        <v>7896</v>
      </c>
      <c r="Q1114" s="47" t="s">
        <v>1463</v>
      </c>
      <c r="R1114" s="47" t="s">
        <v>1463</v>
      </c>
      <c r="S1114" s="43"/>
      <c r="T1114" s="49">
        <v>45622</v>
      </c>
    </row>
    <row r="1115" spans="1:20" ht="26.45">
      <c r="A1115" s="44" t="s">
        <v>7897</v>
      </c>
      <c r="B1115" s="44" t="s">
        <v>7898</v>
      </c>
      <c r="C1115" s="45" t="s">
        <v>7899</v>
      </c>
      <c r="D1115" s="44" t="s">
        <v>1425</v>
      </c>
      <c r="E1115" s="44" t="s">
        <v>1481</v>
      </c>
      <c r="F1115" s="44"/>
      <c r="G1115" s="44" t="s">
        <v>1687</v>
      </c>
      <c r="H1115" s="44" t="s">
        <v>7900</v>
      </c>
      <c r="I1115" s="46" t="s">
        <v>7901</v>
      </c>
      <c r="J1115" s="46" t="s">
        <v>7902</v>
      </c>
      <c r="K1115" s="46" t="s">
        <v>1425</v>
      </c>
      <c r="L1115" s="46" t="s">
        <v>1474</v>
      </c>
      <c r="M1115" s="46" t="s">
        <v>7903</v>
      </c>
      <c r="N1115" s="46" t="s">
        <v>1495</v>
      </c>
      <c r="O1115" s="44" t="s">
        <v>7904</v>
      </c>
      <c r="P1115" s="44" t="s">
        <v>7905</v>
      </c>
      <c r="Q1115" s="44" t="s">
        <v>1463</v>
      </c>
      <c r="R1115" s="44" t="s">
        <v>1463</v>
      </c>
      <c r="S1115" s="43"/>
      <c r="T1115" s="51">
        <v>45355</v>
      </c>
    </row>
    <row r="1116" spans="1:20" ht="26.45">
      <c r="A1116" s="47" t="s">
        <v>7906</v>
      </c>
      <c r="B1116" s="47" t="s">
        <v>7907</v>
      </c>
      <c r="C1116" s="48" t="s">
        <v>7908</v>
      </c>
      <c r="D1116" s="47" t="s">
        <v>1419</v>
      </c>
      <c r="E1116" s="47" t="s">
        <v>1481</v>
      </c>
      <c r="F1116" s="47"/>
      <c r="G1116" s="47" t="s">
        <v>1490</v>
      </c>
      <c r="H1116" s="47" t="s">
        <v>7909</v>
      </c>
      <c r="I1116" s="50" t="s">
        <v>7910</v>
      </c>
      <c r="J1116" s="50" t="s">
        <v>7911</v>
      </c>
      <c r="K1116" s="50" t="s">
        <v>1493</v>
      </c>
      <c r="L1116" s="50" t="s">
        <v>1474</v>
      </c>
      <c r="M1116" s="50" t="s">
        <v>7912</v>
      </c>
      <c r="N1116" s="50" t="s">
        <v>1495</v>
      </c>
      <c r="O1116" s="47" t="s">
        <v>7913</v>
      </c>
      <c r="P1116" s="47"/>
      <c r="Q1116" s="47" t="s">
        <v>1463</v>
      </c>
      <c r="R1116" s="47" t="s">
        <v>1463</v>
      </c>
      <c r="S1116" s="43"/>
      <c r="T1116" s="49">
        <v>44246</v>
      </c>
    </row>
    <row r="1117" spans="1:20" ht="26.45">
      <c r="A1117" s="44" t="s">
        <v>440</v>
      </c>
      <c r="B1117" s="44" t="s">
        <v>7914</v>
      </c>
      <c r="C1117" s="45" t="s">
        <v>1225</v>
      </c>
      <c r="D1117" s="44" t="s">
        <v>1428</v>
      </c>
      <c r="E1117" s="44" t="s">
        <v>1481</v>
      </c>
      <c r="F1117" s="44"/>
      <c r="G1117" s="44" t="s">
        <v>1687</v>
      </c>
      <c r="H1117" s="44" t="s">
        <v>7915</v>
      </c>
      <c r="I1117" s="46" t="s">
        <v>7916</v>
      </c>
      <c r="J1117" s="46" t="s">
        <v>7917</v>
      </c>
      <c r="K1117" s="46" t="s">
        <v>7918</v>
      </c>
      <c r="L1117" s="46" t="s">
        <v>1504</v>
      </c>
      <c r="M1117" s="46" t="s">
        <v>7919</v>
      </c>
      <c r="N1117" s="46" t="s">
        <v>1525</v>
      </c>
      <c r="O1117" s="44" t="s">
        <v>7920</v>
      </c>
      <c r="P1117" s="44" t="s">
        <v>7921</v>
      </c>
      <c r="Q1117" s="44" t="s">
        <v>1695</v>
      </c>
      <c r="R1117" s="44" t="s">
        <v>1463</v>
      </c>
      <c r="S1117" s="43"/>
      <c r="T1117" s="51">
        <v>45695</v>
      </c>
    </row>
    <row r="1118" spans="1:20" ht="26.45">
      <c r="A1118" s="47" t="s">
        <v>441</v>
      </c>
      <c r="B1118" s="47" t="s">
        <v>7922</v>
      </c>
      <c r="C1118" s="48" t="s">
        <v>1226</v>
      </c>
      <c r="D1118" s="47" t="s">
        <v>1424</v>
      </c>
      <c r="E1118" s="47" t="s">
        <v>1481</v>
      </c>
      <c r="F1118" s="47"/>
      <c r="G1118" s="47" t="s">
        <v>1687</v>
      </c>
      <c r="H1118" s="47" t="s">
        <v>7923</v>
      </c>
      <c r="I1118" s="50" t="s">
        <v>7924</v>
      </c>
      <c r="J1118" s="50" t="s">
        <v>7925</v>
      </c>
      <c r="K1118" s="50" t="s">
        <v>2007</v>
      </c>
      <c r="L1118" s="50" t="s">
        <v>1474</v>
      </c>
      <c r="M1118" s="50" t="s">
        <v>7926</v>
      </c>
      <c r="N1118" s="50" t="s">
        <v>1531</v>
      </c>
      <c r="O1118" s="47" t="s">
        <v>7927</v>
      </c>
      <c r="P1118" s="47" t="s">
        <v>7928</v>
      </c>
      <c r="Q1118" s="47" t="s">
        <v>1695</v>
      </c>
      <c r="R1118" s="47" t="s">
        <v>1463</v>
      </c>
      <c r="S1118" s="43"/>
      <c r="T1118" s="49">
        <v>45547</v>
      </c>
    </row>
    <row r="1119" spans="1:20">
      <c r="A1119" s="44" t="s">
        <v>7929</v>
      </c>
      <c r="B1119" s="44" t="s">
        <v>7930</v>
      </c>
      <c r="C1119" s="45" t="s">
        <v>7931</v>
      </c>
      <c r="D1119" s="44" t="s">
        <v>1419</v>
      </c>
      <c r="E1119" s="44" t="s">
        <v>1481</v>
      </c>
      <c r="F1119" s="44"/>
      <c r="G1119" s="44" t="s">
        <v>1461</v>
      </c>
      <c r="H1119" s="44" t="s">
        <v>7932</v>
      </c>
      <c r="I1119" s="46" t="s">
        <v>7933</v>
      </c>
      <c r="J1119" s="46" t="s">
        <v>7934</v>
      </c>
      <c r="K1119" s="46" t="s">
        <v>1493</v>
      </c>
      <c r="L1119" s="46" t="s">
        <v>1504</v>
      </c>
      <c r="M1119" s="46" t="s">
        <v>7935</v>
      </c>
      <c r="N1119" s="46" t="s">
        <v>1495</v>
      </c>
      <c r="O1119" s="44" t="s">
        <v>7936</v>
      </c>
      <c r="P1119" s="44"/>
      <c r="Q1119" s="44" t="s">
        <v>1463</v>
      </c>
      <c r="R1119" s="44" t="s">
        <v>1463</v>
      </c>
      <c r="S1119" s="43"/>
      <c r="T1119" s="51">
        <v>43691</v>
      </c>
    </row>
    <row r="1120" spans="1:20" ht="26.45">
      <c r="A1120" s="47" t="s">
        <v>7937</v>
      </c>
      <c r="B1120" s="47" t="s">
        <v>7938</v>
      </c>
      <c r="C1120" s="48" t="s">
        <v>7939</v>
      </c>
      <c r="D1120" s="47" t="s">
        <v>1410</v>
      </c>
      <c r="E1120" s="47" t="s">
        <v>1481</v>
      </c>
      <c r="F1120" s="47"/>
      <c r="G1120" s="47" t="s">
        <v>3395</v>
      </c>
      <c r="H1120" s="47"/>
      <c r="I1120" s="50"/>
      <c r="J1120" s="50"/>
      <c r="K1120" s="50"/>
      <c r="L1120" s="50"/>
      <c r="M1120" s="50"/>
      <c r="N1120" s="50"/>
      <c r="O1120" s="47"/>
      <c r="P1120" s="47"/>
      <c r="Q1120" s="47" t="s">
        <v>1463</v>
      </c>
      <c r="R1120" s="47" t="s">
        <v>1463</v>
      </c>
      <c r="S1120" s="43"/>
      <c r="T1120" s="47"/>
    </row>
    <row r="1121" spans="1:20">
      <c r="A1121" s="44" t="s">
        <v>7940</v>
      </c>
      <c r="B1121" s="44" t="s">
        <v>7941</v>
      </c>
      <c r="C1121" s="45" t="s">
        <v>7942</v>
      </c>
      <c r="D1121" s="44" t="s">
        <v>1419</v>
      </c>
      <c r="E1121" s="44" t="s">
        <v>1481</v>
      </c>
      <c r="F1121" s="44"/>
      <c r="G1121" s="44" t="s">
        <v>1461</v>
      </c>
      <c r="H1121" s="44"/>
      <c r="I1121" s="46" t="s">
        <v>7942</v>
      </c>
      <c r="J1121" s="46"/>
      <c r="K1121" s="46"/>
      <c r="L1121" s="46"/>
      <c r="M1121" s="46"/>
      <c r="N1121" s="46"/>
      <c r="O1121" s="44" t="s">
        <v>7943</v>
      </c>
      <c r="P1121" s="44"/>
      <c r="Q1121" s="44" t="s">
        <v>1463</v>
      </c>
      <c r="R1121" s="44" t="s">
        <v>1463</v>
      </c>
      <c r="S1121" s="43"/>
      <c r="T1121" s="44"/>
    </row>
    <row r="1122" spans="1:20">
      <c r="A1122" s="47" t="s">
        <v>7944</v>
      </c>
      <c r="B1122" s="47" t="s">
        <v>7945</v>
      </c>
      <c r="C1122" s="48" t="s">
        <v>7946</v>
      </c>
      <c r="D1122" s="47" t="s">
        <v>1419</v>
      </c>
      <c r="E1122" s="47" t="s">
        <v>1481</v>
      </c>
      <c r="F1122" s="47"/>
      <c r="G1122" s="47" t="s">
        <v>1687</v>
      </c>
      <c r="H1122" s="47"/>
      <c r="I1122" s="50"/>
      <c r="J1122" s="50"/>
      <c r="K1122" s="50"/>
      <c r="L1122" s="50"/>
      <c r="M1122" s="50"/>
      <c r="N1122" s="50"/>
      <c r="O1122" s="47"/>
      <c r="P1122" s="47"/>
      <c r="Q1122" s="47" t="s">
        <v>1463</v>
      </c>
      <c r="R1122" s="47" t="s">
        <v>1463</v>
      </c>
      <c r="S1122" s="43"/>
      <c r="T1122" s="47"/>
    </row>
    <row r="1123" spans="1:20" ht="26.45">
      <c r="A1123" s="44" t="s">
        <v>7947</v>
      </c>
      <c r="B1123" s="44" t="s">
        <v>7948</v>
      </c>
      <c r="C1123" s="45" t="s">
        <v>7949</v>
      </c>
      <c r="D1123" s="44" t="s">
        <v>1414</v>
      </c>
      <c r="E1123" s="44" t="s">
        <v>1481</v>
      </c>
      <c r="F1123" s="44"/>
      <c r="G1123" s="44" t="s">
        <v>1461</v>
      </c>
      <c r="H1123" s="44" t="s">
        <v>7950</v>
      </c>
      <c r="I1123" s="46" t="s">
        <v>7951</v>
      </c>
      <c r="J1123" s="46" t="s">
        <v>7952</v>
      </c>
      <c r="K1123" s="46" t="s">
        <v>1484</v>
      </c>
      <c r="L1123" s="46" t="s">
        <v>2117</v>
      </c>
      <c r="M1123" s="46" t="s">
        <v>7953</v>
      </c>
      <c r="N1123" s="46" t="s">
        <v>1629</v>
      </c>
      <c r="O1123" s="44" t="s">
        <v>7954</v>
      </c>
      <c r="P1123" s="44" t="s">
        <v>7955</v>
      </c>
      <c r="Q1123" s="44" t="s">
        <v>1463</v>
      </c>
      <c r="R1123" s="44" t="s">
        <v>1463</v>
      </c>
      <c r="S1123" s="43"/>
      <c r="T1123" s="51">
        <v>44914</v>
      </c>
    </row>
    <row r="1124" spans="1:20" ht="26.45">
      <c r="A1124" s="47" t="s">
        <v>7956</v>
      </c>
      <c r="B1124" s="47" t="s">
        <v>7957</v>
      </c>
      <c r="C1124" s="48" t="s">
        <v>7958</v>
      </c>
      <c r="D1124" s="47" t="s">
        <v>1419</v>
      </c>
      <c r="E1124" s="47" t="s">
        <v>1481</v>
      </c>
      <c r="F1124" s="47"/>
      <c r="G1124" s="47" t="s">
        <v>1490</v>
      </c>
      <c r="H1124" s="47" t="s">
        <v>7959</v>
      </c>
      <c r="I1124" s="50" t="s">
        <v>7960</v>
      </c>
      <c r="J1124" s="50" t="s">
        <v>7961</v>
      </c>
      <c r="K1124" s="50" t="s">
        <v>2097</v>
      </c>
      <c r="L1124" s="50" t="s">
        <v>1504</v>
      </c>
      <c r="M1124" s="50" t="s">
        <v>7962</v>
      </c>
      <c r="N1124" s="50" t="s">
        <v>1729</v>
      </c>
      <c r="O1124" s="47" t="s">
        <v>7963</v>
      </c>
      <c r="P1124" s="47"/>
      <c r="Q1124" s="47" t="s">
        <v>1463</v>
      </c>
      <c r="R1124" s="47" t="s">
        <v>1463</v>
      </c>
      <c r="S1124" s="43"/>
      <c r="T1124" s="49">
        <v>44104</v>
      </c>
    </row>
    <row r="1125" spans="1:20" ht="26.45">
      <c r="A1125" s="44" t="s">
        <v>7964</v>
      </c>
      <c r="B1125" s="44" t="s">
        <v>7965</v>
      </c>
      <c r="C1125" s="45" t="s">
        <v>7966</v>
      </c>
      <c r="D1125" s="44" t="s">
        <v>1419</v>
      </c>
      <c r="E1125" s="44" t="s">
        <v>1481</v>
      </c>
      <c r="F1125" s="44"/>
      <c r="G1125" s="44" t="s">
        <v>1461</v>
      </c>
      <c r="H1125" s="44" t="s">
        <v>7967</v>
      </c>
      <c r="I1125" s="46" t="s">
        <v>7968</v>
      </c>
      <c r="J1125" s="46" t="s">
        <v>7969</v>
      </c>
      <c r="K1125" s="46" t="s">
        <v>1523</v>
      </c>
      <c r="L1125" s="46" t="s">
        <v>1504</v>
      </c>
      <c r="M1125" s="46" t="s">
        <v>7970</v>
      </c>
      <c r="N1125" s="46" t="s">
        <v>1495</v>
      </c>
      <c r="O1125" s="44" t="s">
        <v>7971</v>
      </c>
      <c r="P1125" s="44"/>
      <c r="Q1125" s="44" t="s">
        <v>1463</v>
      </c>
      <c r="R1125" s="44" t="s">
        <v>1463</v>
      </c>
      <c r="S1125" s="43"/>
      <c r="T1125" s="51">
        <v>42850</v>
      </c>
    </row>
    <row r="1126" spans="1:20">
      <c r="A1126" s="47" t="s">
        <v>7972</v>
      </c>
      <c r="B1126" s="47" t="s">
        <v>7973</v>
      </c>
      <c r="C1126" s="48" t="s">
        <v>7974</v>
      </c>
      <c r="D1126" s="47" t="s">
        <v>1424</v>
      </c>
      <c r="E1126" s="47" t="s">
        <v>1481</v>
      </c>
      <c r="F1126" s="47"/>
      <c r="G1126" s="47" t="s">
        <v>1461</v>
      </c>
      <c r="H1126" s="47" t="s">
        <v>7975</v>
      </c>
      <c r="I1126" s="50" t="s">
        <v>7976</v>
      </c>
      <c r="J1126" s="50" t="s">
        <v>7977</v>
      </c>
      <c r="K1126" s="50" t="s">
        <v>4838</v>
      </c>
      <c r="L1126" s="50" t="s">
        <v>1474</v>
      </c>
      <c r="M1126" s="50" t="s">
        <v>7978</v>
      </c>
      <c r="N1126" s="50" t="s">
        <v>1531</v>
      </c>
      <c r="O1126" s="47" t="s">
        <v>7979</v>
      </c>
      <c r="P1126" s="47"/>
      <c r="Q1126" s="47" t="s">
        <v>1463</v>
      </c>
      <c r="R1126" s="47" t="s">
        <v>1463</v>
      </c>
      <c r="S1126" s="43"/>
      <c r="T1126" s="49">
        <v>45343</v>
      </c>
    </row>
    <row r="1127" spans="1:20">
      <c r="A1127" s="44" t="s">
        <v>7980</v>
      </c>
      <c r="B1127" s="44" t="s">
        <v>7981</v>
      </c>
      <c r="C1127" s="45" t="s">
        <v>7982</v>
      </c>
      <c r="D1127" s="44" t="s">
        <v>1410</v>
      </c>
      <c r="E1127" s="44" t="s">
        <v>1481</v>
      </c>
      <c r="F1127" s="44"/>
      <c r="G1127" s="44" t="s">
        <v>1618</v>
      </c>
      <c r="H1127" s="44"/>
      <c r="I1127" s="46"/>
      <c r="J1127" s="46"/>
      <c r="K1127" s="46"/>
      <c r="L1127" s="46"/>
      <c r="M1127" s="46"/>
      <c r="N1127" s="46"/>
      <c r="O1127" s="44"/>
      <c r="P1127" s="44"/>
      <c r="Q1127" s="44" t="s">
        <v>1463</v>
      </c>
      <c r="R1127" s="44" t="s">
        <v>1463</v>
      </c>
      <c r="S1127" s="43"/>
      <c r="T1127" s="44"/>
    </row>
    <row r="1128" spans="1:20" ht="26.45">
      <c r="A1128" s="47" t="s">
        <v>442</v>
      </c>
      <c r="B1128" s="47" t="s">
        <v>7983</v>
      </c>
      <c r="C1128" s="48" t="s">
        <v>1227</v>
      </c>
      <c r="D1128" s="47" t="s">
        <v>1410</v>
      </c>
      <c r="E1128" s="47" t="s">
        <v>1481</v>
      </c>
      <c r="F1128" s="47"/>
      <c r="G1128" s="47" t="s">
        <v>1687</v>
      </c>
      <c r="H1128" s="47" t="s">
        <v>7984</v>
      </c>
      <c r="I1128" s="50" t="s">
        <v>7985</v>
      </c>
      <c r="J1128" s="50" t="s">
        <v>7986</v>
      </c>
      <c r="K1128" s="50" t="s">
        <v>7987</v>
      </c>
      <c r="L1128" s="50" t="s">
        <v>1504</v>
      </c>
      <c r="M1128" s="50" t="s">
        <v>7988</v>
      </c>
      <c r="N1128" s="50" t="s">
        <v>1641</v>
      </c>
      <c r="O1128" s="47" t="s">
        <v>7989</v>
      </c>
      <c r="P1128" s="47" t="s">
        <v>7990</v>
      </c>
      <c r="Q1128" s="47" t="s">
        <v>1695</v>
      </c>
      <c r="R1128" s="47" t="s">
        <v>1463</v>
      </c>
      <c r="S1128" s="43"/>
      <c r="T1128" s="49">
        <v>45581</v>
      </c>
    </row>
    <row r="1129" spans="1:20" ht="26.45">
      <c r="A1129" s="44" t="s">
        <v>7991</v>
      </c>
      <c r="B1129" s="44" t="s">
        <v>7992</v>
      </c>
      <c r="C1129" s="45" t="s">
        <v>7993</v>
      </c>
      <c r="D1129" s="44" t="s">
        <v>1414</v>
      </c>
      <c r="E1129" s="44" t="s">
        <v>1481</v>
      </c>
      <c r="F1129" s="44"/>
      <c r="G1129" s="44" t="s">
        <v>1490</v>
      </c>
      <c r="H1129" s="44"/>
      <c r="I1129" s="46" t="s">
        <v>7993</v>
      </c>
      <c r="J1129" s="46" t="s">
        <v>7994</v>
      </c>
      <c r="K1129" s="46" t="s">
        <v>2764</v>
      </c>
      <c r="L1129" s="46" t="s">
        <v>1504</v>
      </c>
      <c r="M1129" s="46" t="s">
        <v>7995</v>
      </c>
      <c r="N1129" s="46"/>
      <c r="O1129" s="44"/>
      <c r="P1129" s="44"/>
      <c r="Q1129" s="44" t="s">
        <v>1463</v>
      </c>
      <c r="R1129" s="44" t="s">
        <v>1463</v>
      </c>
      <c r="S1129" s="43"/>
      <c r="T1129" s="44"/>
    </row>
    <row r="1130" spans="1:20">
      <c r="A1130" s="47" t="s">
        <v>7996</v>
      </c>
      <c r="B1130" s="47"/>
      <c r="C1130" s="48" t="s">
        <v>7997</v>
      </c>
      <c r="D1130" s="47" t="s">
        <v>1419</v>
      </c>
      <c r="E1130" s="47" t="s">
        <v>1460</v>
      </c>
      <c r="F1130" s="49">
        <v>41457.382442210597</v>
      </c>
      <c r="G1130" s="47" t="s">
        <v>1466</v>
      </c>
      <c r="H1130" s="47"/>
      <c r="I1130" s="50"/>
      <c r="J1130" s="50"/>
      <c r="K1130" s="50"/>
      <c r="L1130" s="50"/>
      <c r="M1130" s="50"/>
      <c r="N1130" s="50"/>
      <c r="O1130" s="47"/>
      <c r="P1130" s="47"/>
      <c r="Q1130" s="47" t="s">
        <v>1463</v>
      </c>
      <c r="R1130" s="47" t="s">
        <v>1463</v>
      </c>
      <c r="S1130" s="43"/>
      <c r="T1130" s="47"/>
    </row>
    <row r="1131" spans="1:20">
      <c r="A1131" s="44" t="s">
        <v>7998</v>
      </c>
      <c r="B1131" s="44" t="s">
        <v>7999</v>
      </c>
      <c r="C1131" s="45" t="s">
        <v>8000</v>
      </c>
      <c r="D1131" s="44" t="s">
        <v>1419</v>
      </c>
      <c r="E1131" s="44" t="s">
        <v>1460</v>
      </c>
      <c r="F1131" s="51">
        <v>43110.915355243102</v>
      </c>
      <c r="G1131" s="44" t="s">
        <v>1466</v>
      </c>
      <c r="H1131" s="44" t="s">
        <v>8001</v>
      </c>
      <c r="I1131" s="46" t="s">
        <v>8000</v>
      </c>
      <c r="J1131" s="46" t="s">
        <v>8002</v>
      </c>
      <c r="K1131" s="46" t="s">
        <v>1523</v>
      </c>
      <c r="L1131" s="46" t="s">
        <v>1504</v>
      </c>
      <c r="M1131" s="46" t="s">
        <v>3613</v>
      </c>
      <c r="N1131" s="46" t="s">
        <v>1495</v>
      </c>
      <c r="O1131" s="44" t="s">
        <v>8003</v>
      </c>
      <c r="P1131" s="44"/>
      <c r="Q1131" s="44" t="s">
        <v>1463</v>
      </c>
      <c r="R1131" s="44" t="s">
        <v>1463</v>
      </c>
      <c r="S1131" s="43"/>
      <c r="T1131" s="51">
        <v>43416</v>
      </c>
    </row>
    <row r="1132" spans="1:20" ht="26.45">
      <c r="A1132" s="47" t="s">
        <v>8004</v>
      </c>
      <c r="B1132" s="47" t="s">
        <v>8005</v>
      </c>
      <c r="C1132" s="48" t="s">
        <v>8006</v>
      </c>
      <c r="D1132" s="47" t="s">
        <v>1419</v>
      </c>
      <c r="E1132" s="47" t="s">
        <v>1481</v>
      </c>
      <c r="F1132" s="47"/>
      <c r="G1132" s="47" t="s">
        <v>1490</v>
      </c>
      <c r="H1132" s="47" t="s">
        <v>8007</v>
      </c>
      <c r="I1132" s="50" t="s">
        <v>8006</v>
      </c>
      <c r="J1132" s="50" t="s">
        <v>8008</v>
      </c>
      <c r="K1132" s="50" t="s">
        <v>1523</v>
      </c>
      <c r="L1132" s="50" t="s">
        <v>1504</v>
      </c>
      <c r="M1132" s="50" t="s">
        <v>8009</v>
      </c>
      <c r="N1132" s="50"/>
      <c r="O1132" s="47"/>
      <c r="P1132" s="47"/>
      <c r="Q1132" s="47" t="s">
        <v>1463</v>
      </c>
      <c r="R1132" s="47" t="s">
        <v>1463</v>
      </c>
      <c r="S1132" s="43"/>
      <c r="T1132" s="47"/>
    </row>
    <row r="1133" spans="1:20" ht="26.45">
      <c r="A1133" s="44" t="s">
        <v>8010</v>
      </c>
      <c r="B1133" s="44" t="s">
        <v>8011</v>
      </c>
      <c r="C1133" s="45" t="s">
        <v>8012</v>
      </c>
      <c r="D1133" s="44" t="s">
        <v>1419</v>
      </c>
      <c r="E1133" s="44" t="s">
        <v>1481</v>
      </c>
      <c r="F1133" s="44"/>
      <c r="G1133" s="44" t="s">
        <v>1618</v>
      </c>
      <c r="H1133" s="44"/>
      <c r="I1133" s="46"/>
      <c r="J1133" s="46"/>
      <c r="K1133" s="46"/>
      <c r="L1133" s="46"/>
      <c r="M1133" s="46"/>
      <c r="N1133" s="46"/>
      <c r="O1133" s="44"/>
      <c r="P1133" s="44"/>
      <c r="Q1133" s="44" t="s">
        <v>1463</v>
      </c>
      <c r="R1133" s="44" t="s">
        <v>1463</v>
      </c>
      <c r="S1133" s="43"/>
      <c r="T1133" s="44"/>
    </row>
    <row r="1134" spans="1:20" ht="26.45">
      <c r="A1134" s="47" t="s">
        <v>443</v>
      </c>
      <c r="B1134" s="47" t="s">
        <v>8013</v>
      </c>
      <c r="C1134" s="48" t="s">
        <v>1228</v>
      </c>
      <c r="D1134" s="47" t="s">
        <v>1419</v>
      </c>
      <c r="E1134" s="47" t="s">
        <v>1481</v>
      </c>
      <c r="F1134" s="47"/>
      <c r="G1134" s="47" t="s">
        <v>1466</v>
      </c>
      <c r="H1134" s="47" t="s">
        <v>8014</v>
      </c>
      <c r="I1134" s="50" t="s">
        <v>8015</v>
      </c>
      <c r="J1134" s="50" t="s">
        <v>8016</v>
      </c>
      <c r="K1134" s="50" t="s">
        <v>1503</v>
      </c>
      <c r="L1134" s="50" t="s">
        <v>1474</v>
      </c>
      <c r="M1134" s="50" t="s">
        <v>8017</v>
      </c>
      <c r="N1134" s="50" t="s">
        <v>1476</v>
      </c>
      <c r="O1134" s="47" t="s">
        <v>8018</v>
      </c>
      <c r="P1134" s="47" t="s">
        <v>8019</v>
      </c>
      <c r="Q1134" s="47" t="s">
        <v>1463</v>
      </c>
      <c r="R1134" s="47" t="s">
        <v>1463</v>
      </c>
      <c r="S1134" s="43"/>
      <c r="T1134" s="49">
        <v>45526</v>
      </c>
    </row>
    <row r="1135" spans="1:20" ht="26.45">
      <c r="A1135" s="44" t="s">
        <v>444</v>
      </c>
      <c r="B1135" s="44" t="s">
        <v>8020</v>
      </c>
      <c r="C1135" s="45" t="s">
        <v>1229</v>
      </c>
      <c r="D1135" s="44" t="s">
        <v>1419</v>
      </c>
      <c r="E1135" s="44" t="s">
        <v>1481</v>
      </c>
      <c r="F1135" s="44"/>
      <c r="G1135" s="44" t="s">
        <v>1466</v>
      </c>
      <c r="H1135" s="44" t="s">
        <v>8021</v>
      </c>
      <c r="I1135" s="46" t="s">
        <v>8022</v>
      </c>
      <c r="J1135" s="46" t="s">
        <v>8023</v>
      </c>
      <c r="K1135" s="46" t="s">
        <v>1493</v>
      </c>
      <c r="L1135" s="46" t="s">
        <v>1474</v>
      </c>
      <c r="M1135" s="46" t="s">
        <v>8024</v>
      </c>
      <c r="N1135" s="46" t="s">
        <v>1729</v>
      </c>
      <c r="O1135" s="44" t="s">
        <v>8025</v>
      </c>
      <c r="P1135" s="44" t="s">
        <v>8026</v>
      </c>
      <c r="Q1135" s="44" t="s">
        <v>1463</v>
      </c>
      <c r="R1135" s="44" t="s">
        <v>1463</v>
      </c>
      <c r="S1135" s="43"/>
      <c r="T1135" s="51">
        <v>45338</v>
      </c>
    </row>
    <row r="1136" spans="1:20" ht="26.45">
      <c r="A1136" s="47" t="s">
        <v>8027</v>
      </c>
      <c r="B1136" s="47" t="s">
        <v>8028</v>
      </c>
      <c r="C1136" s="48" t="s">
        <v>8029</v>
      </c>
      <c r="D1136" s="47" t="s">
        <v>1424</v>
      </c>
      <c r="E1136" s="47" t="s">
        <v>1481</v>
      </c>
      <c r="F1136" s="47"/>
      <c r="G1136" s="47" t="s">
        <v>1490</v>
      </c>
      <c r="H1136" s="47" t="s">
        <v>8030</v>
      </c>
      <c r="I1136" s="50" t="s">
        <v>8029</v>
      </c>
      <c r="J1136" s="50" t="s">
        <v>8031</v>
      </c>
      <c r="K1136" s="50" t="s">
        <v>8032</v>
      </c>
      <c r="L1136" s="50" t="s">
        <v>1504</v>
      </c>
      <c r="M1136" s="50" t="s">
        <v>8033</v>
      </c>
      <c r="N1136" s="50" t="s">
        <v>1516</v>
      </c>
      <c r="O1136" s="47"/>
      <c r="P1136" s="47"/>
      <c r="Q1136" s="47" t="s">
        <v>1463</v>
      </c>
      <c r="R1136" s="47" t="s">
        <v>1463</v>
      </c>
      <c r="S1136" s="43"/>
      <c r="T1136" s="47"/>
    </row>
    <row r="1137" spans="1:20">
      <c r="A1137" s="44" t="s">
        <v>8034</v>
      </c>
      <c r="B1137" s="44"/>
      <c r="C1137" s="45" t="s">
        <v>8035</v>
      </c>
      <c r="D1137" s="44" t="s">
        <v>1419</v>
      </c>
      <c r="E1137" s="44" t="s">
        <v>1460</v>
      </c>
      <c r="F1137" s="51">
        <v>41457.382442557901</v>
      </c>
      <c r="G1137" s="44" t="s">
        <v>1466</v>
      </c>
      <c r="H1137" s="44"/>
      <c r="I1137" s="46"/>
      <c r="J1137" s="46"/>
      <c r="K1137" s="46"/>
      <c r="L1137" s="46"/>
      <c r="M1137" s="46"/>
      <c r="N1137" s="46"/>
      <c r="O1137" s="44"/>
      <c r="P1137" s="44"/>
      <c r="Q1137" s="44" t="s">
        <v>1463</v>
      </c>
      <c r="R1137" s="44" t="s">
        <v>1463</v>
      </c>
      <c r="S1137" s="43"/>
      <c r="T1137" s="44"/>
    </row>
    <row r="1138" spans="1:20" ht="26.45">
      <c r="A1138" s="47" t="s">
        <v>8036</v>
      </c>
      <c r="B1138" s="47" t="s">
        <v>8037</v>
      </c>
      <c r="C1138" s="48" t="s">
        <v>8038</v>
      </c>
      <c r="D1138" s="47" t="s">
        <v>1419</v>
      </c>
      <c r="E1138" s="47" t="s">
        <v>1481</v>
      </c>
      <c r="F1138" s="47"/>
      <c r="G1138" s="47" t="s">
        <v>1490</v>
      </c>
      <c r="H1138" s="47" t="s">
        <v>8039</v>
      </c>
      <c r="I1138" s="50" t="s">
        <v>8040</v>
      </c>
      <c r="J1138" s="50" t="s">
        <v>8041</v>
      </c>
      <c r="K1138" s="50" t="s">
        <v>2778</v>
      </c>
      <c r="L1138" s="50" t="s">
        <v>6253</v>
      </c>
      <c r="M1138" s="50" t="s">
        <v>8042</v>
      </c>
      <c r="N1138" s="50" t="s">
        <v>1476</v>
      </c>
      <c r="O1138" s="47"/>
      <c r="P1138" s="47" t="s">
        <v>8043</v>
      </c>
      <c r="Q1138" s="47" t="s">
        <v>1463</v>
      </c>
      <c r="R1138" s="47" t="s">
        <v>1463</v>
      </c>
      <c r="S1138" s="43"/>
      <c r="T1138" s="49">
        <v>45566</v>
      </c>
    </row>
    <row r="1139" spans="1:20" ht="26.45">
      <c r="A1139" s="44" t="s">
        <v>1230</v>
      </c>
      <c r="B1139" s="44" t="s">
        <v>8044</v>
      </c>
      <c r="C1139" s="45" t="s">
        <v>1231</v>
      </c>
      <c r="D1139" s="44" t="s">
        <v>1414</v>
      </c>
      <c r="E1139" s="44" t="s">
        <v>1481</v>
      </c>
      <c r="F1139" s="44"/>
      <c r="G1139" s="44" t="s">
        <v>1466</v>
      </c>
      <c r="H1139" s="44" t="s">
        <v>8045</v>
      </c>
      <c r="I1139" s="46" t="s">
        <v>8046</v>
      </c>
      <c r="J1139" s="46" t="s">
        <v>8047</v>
      </c>
      <c r="K1139" s="46" t="s">
        <v>1484</v>
      </c>
      <c r="L1139" s="46" t="s">
        <v>1474</v>
      </c>
      <c r="M1139" s="46" t="s">
        <v>8048</v>
      </c>
      <c r="N1139" s="46" t="s">
        <v>1495</v>
      </c>
      <c r="O1139" s="44" t="s">
        <v>8049</v>
      </c>
      <c r="P1139" s="44" t="s">
        <v>8050</v>
      </c>
      <c r="Q1139" s="44" t="s">
        <v>1463</v>
      </c>
      <c r="R1139" s="44" t="s">
        <v>1463</v>
      </c>
      <c r="S1139" s="43"/>
      <c r="T1139" s="51">
        <v>45343</v>
      </c>
    </row>
    <row r="1140" spans="1:20" ht="26.45">
      <c r="A1140" s="47" t="s">
        <v>8051</v>
      </c>
      <c r="B1140" s="47" t="s">
        <v>8052</v>
      </c>
      <c r="C1140" s="48" t="s">
        <v>8053</v>
      </c>
      <c r="D1140" s="47" t="s">
        <v>1419</v>
      </c>
      <c r="E1140" s="47" t="s">
        <v>1481</v>
      </c>
      <c r="F1140" s="47"/>
      <c r="G1140" s="47" t="s">
        <v>1618</v>
      </c>
      <c r="H1140" s="47"/>
      <c r="I1140" s="50"/>
      <c r="J1140" s="50"/>
      <c r="K1140" s="50"/>
      <c r="L1140" s="50"/>
      <c r="M1140" s="50"/>
      <c r="N1140" s="50"/>
      <c r="O1140" s="47"/>
      <c r="P1140" s="47"/>
      <c r="Q1140" s="47" t="s">
        <v>1463</v>
      </c>
      <c r="R1140" s="47" t="s">
        <v>1463</v>
      </c>
      <c r="S1140" s="43"/>
      <c r="T1140" s="47"/>
    </row>
    <row r="1141" spans="1:20" ht="26.45">
      <c r="A1141" s="44" t="s">
        <v>445</v>
      </c>
      <c r="B1141" s="44" t="s">
        <v>8054</v>
      </c>
      <c r="C1141" s="45" t="s">
        <v>1232</v>
      </c>
      <c r="D1141" s="44" t="s">
        <v>1419</v>
      </c>
      <c r="E1141" s="44" t="s">
        <v>1481</v>
      </c>
      <c r="F1141" s="44"/>
      <c r="G1141" s="44" t="s">
        <v>1466</v>
      </c>
      <c r="H1141" s="44" t="s">
        <v>8055</v>
      </c>
      <c r="I1141" s="46" t="s">
        <v>8056</v>
      </c>
      <c r="J1141" s="46" t="s">
        <v>8057</v>
      </c>
      <c r="K1141" s="46" t="s">
        <v>3769</v>
      </c>
      <c r="L1141" s="46" t="s">
        <v>1474</v>
      </c>
      <c r="M1141" s="46" t="s">
        <v>8058</v>
      </c>
      <c r="N1141" s="46" t="s">
        <v>1516</v>
      </c>
      <c r="O1141" s="44" t="s">
        <v>8059</v>
      </c>
      <c r="P1141" s="44" t="s">
        <v>8060</v>
      </c>
      <c r="Q1141" s="44" t="s">
        <v>1463</v>
      </c>
      <c r="R1141" s="44" t="s">
        <v>1463</v>
      </c>
      <c r="S1141" s="43"/>
      <c r="T1141" s="51">
        <v>45610</v>
      </c>
    </row>
    <row r="1142" spans="1:20" ht="39.6">
      <c r="A1142" s="47" t="s">
        <v>8061</v>
      </c>
      <c r="B1142" s="47" t="s">
        <v>8062</v>
      </c>
      <c r="C1142" s="48" t="s">
        <v>8063</v>
      </c>
      <c r="D1142" s="47" t="s">
        <v>1432</v>
      </c>
      <c r="E1142" s="47" t="s">
        <v>1481</v>
      </c>
      <c r="F1142" s="47"/>
      <c r="G1142" s="47" t="s">
        <v>1511</v>
      </c>
      <c r="H1142" s="47" t="s">
        <v>8064</v>
      </c>
      <c r="I1142" s="50" t="s">
        <v>8063</v>
      </c>
      <c r="J1142" s="50"/>
      <c r="K1142" s="50"/>
      <c r="L1142" s="50"/>
      <c r="M1142" s="50"/>
      <c r="N1142" s="50"/>
      <c r="O1142" s="47" t="s">
        <v>8065</v>
      </c>
      <c r="P1142" s="47"/>
      <c r="Q1142" s="47" t="s">
        <v>1463</v>
      </c>
      <c r="R1142" s="47" t="s">
        <v>1463</v>
      </c>
      <c r="S1142" s="43"/>
      <c r="T1142" s="47"/>
    </row>
    <row r="1143" spans="1:20">
      <c r="A1143" s="44" t="s">
        <v>8066</v>
      </c>
      <c r="B1143" s="44" t="s">
        <v>8067</v>
      </c>
      <c r="C1143" s="45" t="s">
        <v>8068</v>
      </c>
      <c r="D1143" s="44" t="s">
        <v>1420</v>
      </c>
      <c r="E1143" s="44" t="s">
        <v>1481</v>
      </c>
      <c r="F1143" s="44"/>
      <c r="G1143" s="44" t="s">
        <v>1466</v>
      </c>
      <c r="H1143" s="44" t="s">
        <v>8069</v>
      </c>
      <c r="I1143" s="46" t="s">
        <v>8068</v>
      </c>
      <c r="J1143" s="46"/>
      <c r="K1143" s="46"/>
      <c r="L1143" s="46"/>
      <c r="M1143" s="46"/>
      <c r="N1143" s="46"/>
      <c r="O1143" s="44" t="s">
        <v>8070</v>
      </c>
      <c r="P1143" s="44"/>
      <c r="Q1143" s="44" t="s">
        <v>1463</v>
      </c>
      <c r="R1143" s="44" t="s">
        <v>1463</v>
      </c>
      <c r="S1143" s="43"/>
      <c r="T1143" s="44"/>
    </row>
    <row r="1144" spans="1:20" ht="26.45">
      <c r="A1144" s="47" t="s">
        <v>446</v>
      </c>
      <c r="B1144" s="47" t="s">
        <v>8071</v>
      </c>
      <c r="C1144" s="48" t="s">
        <v>1233</v>
      </c>
      <c r="D1144" s="47" t="s">
        <v>1414</v>
      </c>
      <c r="E1144" s="47" t="s">
        <v>1481</v>
      </c>
      <c r="F1144" s="47"/>
      <c r="G1144" s="47" t="s">
        <v>1687</v>
      </c>
      <c r="H1144" s="47" t="s">
        <v>8072</v>
      </c>
      <c r="I1144" s="50" t="s">
        <v>8073</v>
      </c>
      <c r="J1144" s="50" t="s">
        <v>8074</v>
      </c>
      <c r="K1144" s="50" t="s">
        <v>1484</v>
      </c>
      <c r="L1144" s="50" t="s">
        <v>3139</v>
      </c>
      <c r="M1144" s="50" t="s">
        <v>8075</v>
      </c>
      <c r="N1144" s="50" t="s">
        <v>1495</v>
      </c>
      <c r="O1144" s="47" t="s">
        <v>8076</v>
      </c>
      <c r="P1144" s="47" t="s">
        <v>8077</v>
      </c>
      <c r="Q1144" s="47" t="s">
        <v>1463</v>
      </c>
      <c r="R1144" s="47" t="s">
        <v>1463</v>
      </c>
      <c r="S1144" s="43"/>
      <c r="T1144" s="49">
        <v>45575</v>
      </c>
    </row>
    <row r="1145" spans="1:20">
      <c r="A1145" s="44" t="s">
        <v>8078</v>
      </c>
      <c r="B1145" s="44"/>
      <c r="C1145" s="45" t="s">
        <v>8079</v>
      </c>
      <c r="D1145" s="44" t="s">
        <v>1419</v>
      </c>
      <c r="E1145" s="44" t="s">
        <v>1460</v>
      </c>
      <c r="F1145" s="51">
        <v>41457.382442708302</v>
      </c>
      <c r="G1145" s="44" t="s">
        <v>1466</v>
      </c>
      <c r="H1145" s="44" t="s">
        <v>8080</v>
      </c>
      <c r="I1145" s="46"/>
      <c r="J1145" s="46"/>
      <c r="K1145" s="46"/>
      <c r="L1145" s="46"/>
      <c r="M1145" s="46"/>
      <c r="N1145" s="46"/>
      <c r="O1145" s="44"/>
      <c r="P1145" s="44"/>
      <c r="Q1145" s="44" t="s">
        <v>1463</v>
      </c>
      <c r="R1145" s="44" t="s">
        <v>1463</v>
      </c>
      <c r="S1145" s="43"/>
      <c r="T1145" s="44"/>
    </row>
    <row r="1146" spans="1:20" ht="26.45">
      <c r="A1146" s="47" t="s">
        <v>447</v>
      </c>
      <c r="B1146" s="47" t="s">
        <v>8081</v>
      </c>
      <c r="C1146" s="48" t="s">
        <v>1234</v>
      </c>
      <c r="D1146" s="47" t="s">
        <v>1410</v>
      </c>
      <c r="E1146" s="47" t="s">
        <v>1481</v>
      </c>
      <c r="F1146" s="47"/>
      <c r="G1146" s="47" t="s">
        <v>1687</v>
      </c>
      <c r="H1146" s="47" t="s">
        <v>8082</v>
      </c>
      <c r="I1146" s="50" t="s">
        <v>8083</v>
      </c>
      <c r="J1146" s="50" t="s">
        <v>8084</v>
      </c>
      <c r="K1146" s="50" t="s">
        <v>3254</v>
      </c>
      <c r="L1146" s="50" t="s">
        <v>1474</v>
      </c>
      <c r="M1146" s="50" t="s">
        <v>8085</v>
      </c>
      <c r="N1146" s="50" t="s">
        <v>1531</v>
      </c>
      <c r="O1146" s="47" t="s">
        <v>8086</v>
      </c>
      <c r="P1146" s="47" t="s">
        <v>8087</v>
      </c>
      <c r="Q1146" s="47" t="s">
        <v>1695</v>
      </c>
      <c r="R1146" s="47" t="s">
        <v>1463</v>
      </c>
      <c r="S1146" s="43"/>
      <c r="T1146" s="49">
        <v>45335</v>
      </c>
    </row>
    <row r="1147" spans="1:20">
      <c r="A1147" s="44" t="s">
        <v>8088</v>
      </c>
      <c r="B1147" s="44"/>
      <c r="C1147" s="45" t="s">
        <v>8089</v>
      </c>
      <c r="D1147" s="44" t="s">
        <v>1419</v>
      </c>
      <c r="E1147" s="44" t="s">
        <v>1460</v>
      </c>
      <c r="F1147" s="51">
        <v>42452.690854050903</v>
      </c>
      <c r="G1147" s="44" t="s">
        <v>1466</v>
      </c>
      <c r="H1147" s="44"/>
      <c r="I1147" s="46"/>
      <c r="J1147" s="46"/>
      <c r="K1147" s="46"/>
      <c r="L1147" s="46"/>
      <c r="M1147" s="46"/>
      <c r="N1147" s="46"/>
      <c r="O1147" s="44"/>
      <c r="P1147" s="44"/>
      <c r="Q1147" s="44" t="s">
        <v>1463</v>
      </c>
      <c r="R1147" s="44" t="s">
        <v>1463</v>
      </c>
      <c r="S1147" s="43"/>
      <c r="T1147" s="44"/>
    </row>
    <row r="1148" spans="1:20" ht="26.45">
      <c r="A1148" s="47" t="s">
        <v>448</v>
      </c>
      <c r="B1148" s="47" t="s">
        <v>8090</v>
      </c>
      <c r="C1148" s="48" t="s">
        <v>1235</v>
      </c>
      <c r="D1148" s="47" t="s">
        <v>1419</v>
      </c>
      <c r="E1148" s="47" t="s">
        <v>1481</v>
      </c>
      <c r="F1148" s="47"/>
      <c r="G1148" s="47" t="s">
        <v>1466</v>
      </c>
      <c r="H1148" s="47" t="s">
        <v>8091</v>
      </c>
      <c r="I1148" s="50" t="s">
        <v>8092</v>
      </c>
      <c r="J1148" s="50" t="s">
        <v>8093</v>
      </c>
      <c r="K1148" s="50" t="s">
        <v>1493</v>
      </c>
      <c r="L1148" s="50" t="s">
        <v>1474</v>
      </c>
      <c r="M1148" s="50" t="s">
        <v>8094</v>
      </c>
      <c r="N1148" s="50" t="s">
        <v>1629</v>
      </c>
      <c r="O1148" s="47" t="s">
        <v>8095</v>
      </c>
      <c r="P1148" s="47" t="s">
        <v>8096</v>
      </c>
      <c r="Q1148" s="47" t="s">
        <v>1463</v>
      </c>
      <c r="R1148" s="47" t="s">
        <v>1463</v>
      </c>
      <c r="S1148" s="43"/>
      <c r="T1148" s="49">
        <v>45663</v>
      </c>
    </row>
    <row r="1149" spans="1:20" ht="26.45">
      <c r="A1149" s="44" t="s">
        <v>8097</v>
      </c>
      <c r="B1149" s="44" t="s">
        <v>8098</v>
      </c>
      <c r="C1149" s="45" t="s">
        <v>8099</v>
      </c>
      <c r="D1149" s="44" t="s">
        <v>1419</v>
      </c>
      <c r="E1149" s="44" t="s">
        <v>1460</v>
      </c>
      <c r="F1149" s="51">
        <v>43234.723843171298</v>
      </c>
      <c r="G1149" s="44" t="s">
        <v>1466</v>
      </c>
      <c r="H1149" s="44" t="s">
        <v>8100</v>
      </c>
      <c r="I1149" s="46" t="s">
        <v>8101</v>
      </c>
      <c r="J1149" s="46" t="s">
        <v>8102</v>
      </c>
      <c r="K1149" s="46" t="s">
        <v>1493</v>
      </c>
      <c r="L1149" s="46" t="s">
        <v>1474</v>
      </c>
      <c r="M1149" s="46" t="s">
        <v>3490</v>
      </c>
      <c r="N1149" s="46" t="s">
        <v>1495</v>
      </c>
      <c r="O1149" s="44" t="s">
        <v>8103</v>
      </c>
      <c r="P1149" s="44"/>
      <c r="Q1149" s="44" t="s">
        <v>1463</v>
      </c>
      <c r="R1149" s="44" t="s">
        <v>1463</v>
      </c>
      <c r="S1149" s="43"/>
      <c r="T1149" s="51">
        <v>43580</v>
      </c>
    </row>
    <row r="1150" spans="1:20">
      <c r="A1150" s="47" t="s">
        <v>8104</v>
      </c>
      <c r="B1150" s="47" t="s">
        <v>8105</v>
      </c>
      <c r="C1150" s="48" t="s">
        <v>8106</v>
      </c>
      <c r="D1150" s="47" t="s">
        <v>1414</v>
      </c>
      <c r="E1150" s="47" t="s">
        <v>1481</v>
      </c>
      <c r="F1150" s="47"/>
      <c r="G1150" s="47" t="s">
        <v>1466</v>
      </c>
      <c r="H1150" s="47" t="s">
        <v>8107</v>
      </c>
      <c r="I1150" s="50" t="s">
        <v>8106</v>
      </c>
      <c r="J1150" s="50"/>
      <c r="K1150" s="50"/>
      <c r="L1150" s="50"/>
      <c r="M1150" s="50"/>
      <c r="N1150" s="50"/>
      <c r="O1150" s="47" t="s">
        <v>8108</v>
      </c>
      <c r="P1150" s="47"/>
      <c r="Q1150" s="47" t="s">
        <v>1463</v>
      </c>
      <c r="R1150" s="47" t="s">
        <v>1463</v>
      </c>
      <c r="S1150" s="43"/>
      <c r="T1150" s="47"/>
    </row>
    <row r="1151" spans="1:20" ht="26.45">
      <c r="A1151" s="44" t="s">
        <v>449</v>
      </c>
      <c r="B1151" s="44" t="s">
        <v>8109</v>
      </c>
      <c r="C1151" s="45" t="s">
        <v>1236</v>
      </c>
      <c r="D1151" s="44" t="s">
        <v>1414</v>
      </c>
      <c r="E1151" s="44" t="s">
        <v>1481</v>
      </c>
      <c r="F1151" s="44"/>
      <c r="G1151" s="44" t="s">
        <v>1687</v>
      </c>
      <c r="H1151" s="44" t="s">
        <v>8110</v>
      </c>
      <c r="I1151" s="46" t="s">
        <v>8111</v>
      </c>
      <c r="J1151" s="46" t="s">
        <v>8112</v>
      </c>
      <c r="K1151" s="46" t="s">
        <v>1484</v>
      </c>
      <c r="L1151" s="46" t="s">
        <v>1474</v>
      </c>
      <c r="M1151" s="46" t="s">
        <v>8113</v>
      </c>
      <c r="N1151" s="46" t="s">
        <v>1525</v>
      </c>
      <c r="O1151" s="44" t="s">
        <v>8114</v>
      </c>
      <c r="P1151" s="44" t="s">
        <v>8115</v>
      </c>
      <c r="Q1151" s="44" t="s">
        <v>1695</v>
      </c>
      <c r="R1151" s="44" t="s">
        <v>1463</v>
      </c>
      <c r="S1151" s="43"/>
      <c r="T1151" s="51">
        <v>45315</v>
      </c>
    </row>
    <row r="1152" spans="1:20">
      <c r="A1152" s="47" t="s">
        <v>8116</v>
      </c>
      <c r="B1152" s="47" t="s">
        <v>8117</v>
      </c>
      <c r="C1152" s="48" t="s">
        <v>8118</v>
      </c>
      <c r="D1152" s="47" t="s">
        <v>1416</v>
      </c>
      <c r="E1152" s="47" t="s">
        <v>1481</v>
      </c>
      <c r="F1152" s="47"/>
      <c r="G1152" s="47" t="s">
        <v>1461</v>
      </c>
      <c r="H1152" s="47"/>
      <c r="I1152" s="50"/>
      <c r="J1152" s="50"/>
      <c r="K1152" s="50"/>
      <c r="L1152" s="50"/>
      <c r="M1152" s="50"/>
      <c r="N1152" s="50"/>
      <c r="O1152" s="47"/>
      <c r="P1152" s="47"/>
      <c r="Q1152" s="47" t="s">
        <v>1463</v>
      </c>
      <c r="R1152" s="47" t="s">
        <v>1463</v>
      </c>
      <c r="S1152" s="43"/>
      <c r="T1152" s="47"/>
    </row>
    <row r="1153" spans="1:20" ht="26.45">
      <c r="A1153" s="44" t="s">
        <v>8119</v>
      </c>
      <c r="B1153" s="44" t="s">
        <v>8120</v>
      </c>
      <c r="C1153" s="45" t="s">
        <v>8121</v>
      </c>
      <c r="D1153" s="44" t="s">
        <v>1424</v>
      </c>
      <c r="E1153" s="44" t="s">
        <v>1481</v>
      </c>
      <c r="F1153" s="44"/>
      <c r="G1153" s="44" t="s">
        <v>1490</v>
      </c>
      <c r="H1153" s="44"/>
      <c r="I1153" s="46" t="s">
        <v>8121</v>
      </c>
      <c r="J1153" s="46" t="s">
        <v>8122</v>
      </c>
      <c r="K1153" s="46" t="s">
        <v>2213</v>
      </c>
      <c r="L1153" s="46" t="s">
        <v>1504</v>
      </c>
      <c r="M1153" s="46" t="s">
        <v>8123</v>
      </c>
      <c r="N1153" s="46"/>
      <c r="O1153" s="44"/>
      <c r="P1153" s="44"/>
      <c r="Q1153" s="44" t="s">
        <v>1463</v>
      </c>
      <c r="R1153" s="44" t="s">
        <v>1463</v>
      </c>
      <c r="S1153" s="43"/>
      <c r="T1153" s="44"/>
    </row>
    <row r="1154" spans="1:20" ht="26.45">
      <c r="A1154" s="47" t="s">
        <v>8124</v>
      </c>
      <c r="B1154" s="47" t="s">
        <v>8125</v>
      </c>
      <c r="C1154" s="48" t="s">
        <v>8126</v>
      </c>
      <c r="D1154" s="47" t="s">
        <v>1419</v>
      </c>
      <c r="E1154" s="47" t="s">
        <v>1481</v>
      </c>
      <c r="F1154" s="47"/>
      <c r="G1154" s="47" t="s">
        <v>1461</v>
      </c>
      <c r="H1154" s="47"/>
      <c r="I1154" s="50" t="s">
        <v>8126</v>
      </c>
      <c r="J1154" s="50" t="s">
        <v>8127</v>
      </c>
      <c r="K1154" s="50" t="s">
        <v>1523</v>
      </c>
      <c r="L1154" s="50" t="s">
        <v>1504</v>
      </c>
      <c r="M1154" s="50" t="s">
        <v>8128</v>
      </c>
      <c r="N1154" s="50"/>
      <c r="O1154" s="47" t="s">
        <v>8129</v>
      </c>
      <c r="P1154" s="47"/>
      <c r="Q1154" s="47" t="s">
        <v>1463</v>
      </c>
      <c r="R1154" s="47" t="s">
        <v>1463</v>
      </c>
      <c r="S1154" s="43"/>
      <c r="T1154" s="49">
        <v>42797</v>
      </c>
    </row>
    <row r="1155" spans="1:20" ht="26.45">
      <c r="A1155" s="44" t="s">
        <v>8130</v>
      </c>
      <c r="B1155" s="44" t="s">
        <v>8131</v>
      </c>
      <c r="C1155" s="45" t="s">
        <v>8132</v>
      </c>
      <c r="D1155" s="44" t="s">
        <v>1419</v>
      </c>
      <c r="E1155" s="44" t="s">
        <v>1481</v>
      </c>
      <c r="F1155" s="44"/>
      <c r="G1155" s="44" t="s">
        <v>1490</v>
      </c>
      <c r="H1155" s="44" t="s">
        <v>8133</v>
      </c>
      <c r="I1155" s="46" t="s">
        <v>8132</v>
      </c>
      <c r="J1155" s="46" t="s">
        <v>8134</v>
      </c>
      <c r="K1155" s="46" t="s">
        <v>1493</v>
      </c>
      <c r="L1155" s="46" t="s">
        <v>8135</v>
      </c>
      <c r="M1155" s="46" t="s">
        <v>8136</v>
      </c>
      <c r="N1155" s="46"/>
      <c r="O1155" s="44"/>
      <c r="P1155" s="44"/>
      <c r="Q1155" s="44" t="s">
        <v>1463</v>
      </c>
      <c r="R1155" s="44" t="s">
        <v>1463</v>
      </c>
      <c r="S1155" s="43"/>
      <c r="T1155" s="44"/>
    </row>
    <row r="1156" spans="1:20">
      <c r="A1156" s="47" t="s">
        <v>8137</v>
      </c>
      <c r="B1156" s="47" t="s">
        <v>8138</v>
      </c>
      <c r="C1156" s="48" t="s">
        <v>8139</v>
      </c>
      <c r="D1156" s="47" t="s">
        <v>1419</v>
      </c>
      <c r="E1156" s="47" t="s">
        <v>1460</v>
      </c>
      <c r="F1156" s="49">
        <v>43241.912295567097</v>
      </c>
      <c r="G1156" s="47" t="s">
        <v>1466</v>
      </c>
      <c r="H1156" s="47" t="s">
        <v>8140</v>
      </c>
      <c r="I1156" s="50" t="s">
        <v>8139</v>
      </c>
      <c r="J1156" s="50" t="s">
        <v>8141</v>
      </c>
      <c r="K1156" s="50" t="s">
        <v>1493</v>
      </c>
      <c r="L1156" s="50" t="s">
        <v>1504</v>
      </c>
      <c r="M1156" s="50" t="s">
        <v>8142</v>
      </c>
      <c r="N1156" s="50" t="s">
        <v>1495</v>
      </c>
      <c r="O1156" s="47" t="s">
        <v>8143</v>
      </c>
      <c r="P1156" s="47"/>
      <c r="Q1156" s="47" t="s">
        <v>1463</v>
      </c>
      <c r="R1156" s="47" t="s">
        <v>1463</v>
      </c>
      <c r="S1156" s="43"/>
      <c r="T1156" s="49">
        <v>43348</v>
      </c>
    </row>
    <row r="1157" spans="1:20" ht="26.45">
      <c r="A1157" s="44" t="s">
        <v>450</v>
      </c>
      <c r="B1157" s="44" t="s">
        <v>8144</v>
      </c>
      <c r="C1157" s="45" t="s">
        <v>1237</v>
      </c>
      <c r="D1157" s="44" t="s">
        <v>1416</v>
      </c>
      <c r="E1157" s="44" t="s">
        <v>1481</v>
      </c>
      <c r="F1157" s="44"/>
      <c r="G1157" s="44" t="s">
        <v>1466</v>
      </c>
      <c r="H1157" s="44" t="s">
        <v>8145</v>
      </c>
      <c r="I1157" s="46" t="s">
        <v>8146</v>
      </c>
      <c r="J1157" s="46" t="s">
        <v>8147</v>
      </c>
      <c r="K1157" s="46" t="s">
        <v>5121</v>
      </c>
      <c r="L1157" s="46" t="s">
        <v>1474</v>
      </c>
      <c r="M1157" s="46" t="s">
        <v>8148</v>
      </c>
      <c r="N1157" s="46" t="s">
        <v>1516</v>
      </c>
      <c r="O1157" s="44" t="s">
        <v>8149</v>
      </c>
      <c r="P1157" s="44" t="s">
        <v>8150</v>
      </c>
      <c r="Q1157" s="44" t="s">
        <v>1463</v>
      </c>
      <c r="R1157" s="44" t="s">
        <v>1463</v>
      </c>
      <c r="S1157" s="43"/>
      <c r="T1157" s="51">
        <v>45365</v>
      </c>
    </row>
    <row r="1158" spans="1:20" ht="26.45">
      <c r="A1158" s="47" t="s">
        <v>1238</v>
      </c>
      <c r="B1158" s="47" t="s">
        <v>8151</v>
      </c>
      <c r="C1158" s="48" t="s">
        <v>1239</v>
      </c>
      <c r="D1158" s="47" t="s">
        <v>1419</v>
      </c>
      <c r="E1158" s="47" t="s">
        <v>1481</v>
      </c>
      <c r="F1158" s="47"/>
      <c r="G1158" s="47" t="s">
        <v>1466</v>
      </c>
      <c r="H1158" s="47" t="s">
        <v>8152</v>
      </c>
      <c r="I1158" s="50" t="s">
        <v>1239</v>
      </c>
      <c r="J1158" s="50" t="s">
        <v>8153</v>
      </c>
      <c r="K1158" s="50" t="s">
        <v>2184</v>
      </c>
      <c r="L1158" s="50" t="s">
        <v>2117</v>
      </c>
      <c r="M1158" s="50" t="s">
        <v>8154</v>
      </c>
      <c r="N1158" s="50" t="s">
        <v>1476</v>
      </c>
      <c r="O1158" s="47" t="s">
        <v>8155</v>
      </c>
      <c r="P1158" s="47" t="s">
        <v>8156</v>
      </c>
      <c r="Q1158" s="47" t="s">
        <v>1463</v>
      </c>
      <c r="R1158" s="47" t="s">
        <v>1463</v>
      </c>
      <c r="S1158" s="43"/>
      <c r="T1158" s="49">
        <v>45693</v>
      </c>
    </row>
    <row r="1159" spans="1:20">
      <c r="A1159" s="44" t="s">
        <v>8157</v>
      </c>
      <c r="B1159" s="44" t="s">
        <v>8158</v>
      </c>
      <c r="C1159" s="45" t="s">
        <v>8159</v>
      </c>
      <c r="D1159" s="44" t="s">
        <v>1419</v>
      </c>
      <c r="E1159" s="44" t="s">
        <v>1460</v>
      </c>
      <c r="F1159" s="51">
        <v>42760.685629895801</v>
      </c>
      <c r="G1159" s="44" t="s">
        <v>1466</v>
      </c>
      <c r="H1159" s="44" t="s">
        <v>8160</v>
      </c>
      <c r="I1159" s="46" t="s">
        <v>8159</v>
      </c>
      <c r="J1159" s="46" t="s">
        <v>8161</v>
      </c>
      <c r="K1159" s="46" t="s">
        <v>1541</v>
      </c>
      <c r="L1159" s="46" t="s">
        <v>1504</v>
      </c>
      <c r="M1159" s="46" t="s">
        <v>8162</v>
      </c>
      <c r="N1159" s="46" t="s">
        <v>1516</v>
      </c>
      <c r="O1159" s="44" t="s">
        <v>8163</v>
      </c>
      <c r="P1159" s="44"/>
      <c r="Q1159" s="44" t="s">
        <v>1463</v>
      </c>
      <c r="R1159" s="44" t="s">
        <v>1463</v>
      </c>
      <c r="S1159" s="43"/>
      <c r="T1159" s="51">
        <v>42635</v>
      </c>
    </row>
    <row r="1160" spans="1:20" ht="26.45">
      <c r="A1160" s="47" t="s">
        <v>451</v>
      </c>
      <c r="B1160" s="47" t="s">
        <v>8164</v>
      </c>
      <c r="C1160" s="48" t="s">
        <v>1240</v>
      </c>
      <c r="D1160" s="47" t="s">
        <v>1419</v>
      </c>
      <c r="E1160" s="47" t="s">
        <v>1481</v>
      </c>
      <c r="F1160" s="47"/>
      <c r="G1160" s="47" t="s">
        <v>1687</v>
      </c>
      <c r="H1160" s="47" t="s">
        <v>8165</v>
      </c>
      <c r="I1160" s="50" t="s">
        <v>8166</v>
      </c>
      <c r="J1160" s="50" t="s">
        <v>8167</v>
      </c>
      <c r="K1160" s="50" t="s">
        <v>2184</v>
      </c>
      <c r="L1160" s="50" t="s">
        <v>1504</v>
      </c>
      <c r="M1160" s="50" t="s">
        <v>8168</v>
      </c>
      <c r="N1160" s="50" t="s">
        <v>1476</v>
      </c>
      <c r="O1160" s="47" t="s">
        <v>8169</v>
      </c>
      <c r="P1160" s="47" t="s">
        <v>8170</v>
      </c>
      <c r="Q1160" s="47" t="s">
        <v>1463</v>
      </c>
      <c r="R1160" s="47" t="s">
        <v>1463</v>
      </c>
      <c r="S1160" s="43"/>
      <c r="T1160" s="49">
        <v>45607</v>
      </c>
    </row>
    <row r="1161" spans="1:20" ht="26.45">
      <c r="A1161" s="44" t="s">
        <v>1241</v>
      </c>
      <c r="B1161" s="44" t="s">
        <v>8171</v>
      </c>
      <c r="C1161" s="45" t="s">
        <v>1242</v>
      </c>
      <c r="D1161" s="44" t="s">
        <v>1419</v>
      </c>
      <c r="E1161" s="44" t="s">
        <v>1481</v>
      </c>
      <c r="F1161" s="44"/>
      <c r="G1161" s="44" t="s">
        <v>1687</v>
      </c>
      <c r="H1161" s="44" t="s">
        <v>8172</v>
      </c>
      <c r="I1161" s="46" t="s">
        <v>8173</v>
      </c>
      <c r="J1161" s="46" t="s">
        <v>8174</v>
      </c>
      <c r="K1161" s="46" t="s">
        <v>2184</v>
      </c>
      <c r="L1161" s="46" t="s">
        <v>1474</v>
      </c>
      <c r="M1161" s="46" t="s">
        <v>8175</v>
      </c>
      <c r="N1161" s="46" t="s">
        <v>1516</v>
      </c>
      <c r="O1161" s="44" t="s">
        <v>8176</v>
      </c>
      <c r="P1161" s="44" t="s">
        <v>8177</v>
      </c>
      <c r="Q1161" s="44" t="s">
        <v>1463</v>
      </c>
      <c r="R1161" s="44" t="s">
        <v>1463</v>
      </c>
      <c r="S1161" s="43"/>
      <c r="T1161" s="51">
        <v>45282</v>
      </c>
    </row>
    <row r="1162" spans="1:20">
      <c r="A1162" s="47" t="s">
        <v>8178</v>
      </c>
      <c r="B1162" s="47"/>
      <c r="C1162" s="48" t="s">
        <v>8179</v>
      </c>
      <c r="D1162" s="47" t="s">
        <v>1419</v>
      </c>
      <c r="E1162" s="47" t="s">
        <v>1460</v>
      </c>
      <c r="F1162" s="49">
        <v>41457.382442326401</v>
      </c>
      <c r="G1162" s="47" t="s">
        <v>1466</v>
      </c>
      <c r="H1162" s="47"/>
      <c r="I1162" s="50"/>
      <c r="J1162" s="50"/>
      <c r="K1162" s="50"/>
      <c r="L1162" s="50"/>
      <c r="M1162" s="50"/>
      <c r="N1162" s="50"/>
      <c r="O1162" s="47"/>
      <c r="P1162" s="47"/>
      <c r="Q1162" s="47" t="s">
        <v>1463</v>
      </c>
      <c r="R1162" s="47" t="s">
        <v>1463</v>
      </c>
      <c r="S1162" s="43"/>
      <c r="T1162" s="47"/>
    </row>
    <row r="1163" spans="1:20">
      <c r="A1163" s="44" t="s">
        <v>8180</v>
      </c>
      <c r="B1163" s="44"/>
      <c r="C1163" s="45" t="s">
        <v>8181</v>
      </c>
      <c r="D1163" s="44" t="s">
        <v>1420</v>
      </c>
      <c r="E1163" s="44" t="s">
        <v>1460</v>
      </c>
      <c r="F1163" s="51">
        <v>41474.645787499998</v>
      </c>
      <c r="G1163" s="44" t="s">
        <v>1466</v>
      </c>
      <c r="H1163" s="44"/>
      <c r="I1163" s="46"/>
      <c r="J1163" s="46"/>
      <c r="K1163" s="46"/>
      <c r="L1163" s="46"/>
      <c r="M1163" s="46"/>
      <c r="N1163" s="46"/>
      <c r="O1163" s="44"/>
      <c r="P1163" s="44"/>
      <c r="Q1163" s="44" t="s">
        <v>1463</v>
      </c>
      <c r="R1163" s="44" t="s">
        <v>1463</v>
      </c>
      <c r="S1163" s="43"/>
      <c r="T1163" s="44"/>
    </row>
    <row r="1164" spans="1:20">
      <c r="A1164" s="47" t="s">
        <v>8182</v>
      </c>
      <c r="B1164" s="47" t="s">
        <v>8183</v>
      </c>
      <c r="C1164" s="48" t="s">
        <v>8184</v>
      </c>
      <c r="D1164" s="47" t="s">
        <v>1419</v>
      </c>
      <c r="E1164" s="47" t="s">
        <v>1481</v>
      </c>
      <c r="F1164" s="47"/>
      <c r="G1164" s="47" t="s">
        <v>1466</v>
      </c>
      <c r="H1164" s="47" t="s">
        <v>8185</v>
      </c>
      <c r="I1164" s="50" t="s">
        <v>8184</v>
      </c>
      <c r="J1164" s="50"/>
      <c r="K1164" s="50"/>
      <c r="L1164" s="50"/>
      <c r="M1164" s="50"/>
      <c r="N1164" s="50"/>
      <c r="O1164" s="47"/>
      <c r="P1164" s="47"/>
      <c r="Q1164" s="47" t="s">
        <v>1463</v>
      </c>
      <c r="R1164" s="47" t="s">
        <v>1463</v>
      </c>
      <c r="S1164" s="43"/>
      <c r="T1164" s="47"/>
    </row>
    <row r="1165" spans="1:20">
      <c r="A1165" s="44" t="s">
        <v>8186</v>
      </c>
      <c r="B1165" s="44"/>
      <c r="C1165" s="45" t="s">
        <v>8187</v>
      </c>
      <c r="D1165" s="44" t="s">
        <v>1419</v>
      </c>
      <c r="E1165" s="44" t="s">
        <v>1460</v>
      </c>
      <c r="F1165" s="51">
        <v>42452.691185648102</v>
      </c>
      <c r="G1165" s="44" t="s">
        <v>1466</v>
      </c>
      <c r="H1165" s="44"/>
      <c r="I1165" s="46"/>
      <c r="J1165" s="46"/>
      <c r="K1165" s="46"/>
      <c r="L1165" s="46"/>
      <c r="M1165" s="46"/>
      <c r="N1165" s="46"/>
      <c r="O1165" s="44"/>
      <c r="P1165" s="44"/>
      <c r="Q1165" s="44" t="s">
        <v>1463</v>
      </c>
      <c r="R1165" s="44" t="s">
        <v>1463</v>
      </c>
      <c r="S1165" s="43"/>
      <c r="T1165" s="44"/>
    </row>
    <row r="1166" spans="1:20">
      <c r="A1166" s="47" t="s">
        <v>1243</v>
      </c>
      <c r="B1166" s="47"/>
      <c r="C1166" s="48" t="s">
        <v>1244</v>
      </c>
      <c r="D1166" s="47" t="s">
        <v>1424</v>
      </c>
      <c r="E1166" s="47" t="s">
        <v>1481</v>
      </c>
      <c r="F1166" s="47"/>
      <c r="G1166" s="47" t="s">
        <v>1244</v>
      </c>
      <c r="H1166" s="47"/>
      <c r="I1166" s="50"/>
      <c r="J1166" s="50"/>
      <c r="K1166" s="50"/>
      <c r="L1166" s="50"/>
      <c r="M1166" s="50"/>
      <c r="N1166" s="50"/>
      <c r="O1166" s="47"/>
      <c r="P1166" s="47"/>
      <c r="Q1166" s="47" t="s">
        <v>1463</v>
      </c>
      <c r="R1166" s="47" t="s">
        <v>1463</v>
      </c>
      <c r="S1166" s="43"/>
      <c r="T1166" s="47"/>
    </row>
    <row r="1167" spans="1:20" ht="26.45">
      <c r="A1167" s="44" t="s">
        <v>452</v>
      </c>
      <c r="B1167" s="44" t="s">
        <v>8188</v>
      </c>
      <c r="C1167" s="45" t="s">
        <v>1245</v>
      </c>
      <c r="D1167" s="44" t="s">
        <v>1433</v>
      </c>
      <c r="E1167" s="44" t="s">
        <v>1481</v>
      </c>
      <c r="F1167" s="44"/>
      <c r="G1167" s="44" t="s">
        <v>1687</v>
      </c>
      <c r="H1167" s="44" t="s">
        <v>8189</v>
      </c>
      <c r="I1167" s="46" t="s">
        <v>8190</v>
      </c>
      <c r="J1167" s="46" t="s">
        <v>8191</v>
      </c>
      <c r="K1167" s="46" t="s">
        <v>3411</v>
      </c>
      <c r="L1167" s="46" t="s">
        <v>1474</v>
      </c>
      <c r="M1167" s="46" t="s">
        <v>8192</v>
      </c>
      <c r="N1167" s="46" t="s">
        <v>1641</v>
      </c>
      <c r="O1167" s="44" t="s">
        <v>8193</v>
      </c>
      <c r="P1167" s="44" t="s">
        <v>8194</v>
      </c>
      <c r="Q1167" s="44" t="s">
        <v>1695</v>
      </c>
      <c r="R1167" s="44" t="s">
        <v>1463</v>
      </c>
      <c r="S1167" s="43"/>
      <c r="T1167" s="51">
        <v>45448</v>
      </c>
    </row>
    <row r="1168" spans="1:20">
      <c r="A1168" s="47" t="s">
        <v>8195</v>
      </c>
      <c r="B1168" s="47"/>
      <c r="C1168" s="48" t="s">
        <v>8196</v>
      </c>
      <c r="D1168" s="47" t="s">
        <v>1432</v>
      </c>
      <c r="E1168" s="47" t="s">
        <v>1460</v>
      </c>
      <c r="F1168" s="49">
        <v>41736.858685034698</v>
      </c>
      <c r="G1168" s="47" t="s">
        <v>1663</v>
      </c>
      <c r="H1168" s="47"/>
      <c r="I1168" s="50"/>
      <c r="J1168" s="50"/>
      <c r="K1168" s="50"/>
      <c r="L1168" s="50"/>
      <c r="M1168" s="50"/>
      <c r="N1168" s="50"/>
      <c r="O1168" s="47"/>
      <c r="P1168" s="47"/>
      <c r="Q1168" s="47" t="s">
        <v>1463</v>
      </c>
      <c r="R1168" s="47" t="s">
        <v>1463</v>
      </c>
      <c r="S1168" s="43"/>
      <c r="T1168" s="47"/>
    </row>
    <row r="1169" spans="1:20" ht="26.45">
      <c r="A1169" s="44" t="s">
        <v>453</v>
      </c>
      <c r="B1169" s="44" t="s">
        <v>8197</v>
      </c>
      <c r="C1169" s="45" t="s">
        <v>1246</v>
      </c>
      <c r="D1169" s="44" t="s">
        <v>1419</v>
      </c>
      <c r="E1169" s="44" t="s">
        <v>1481</v>
      </c>
      <c r="F1169" s="44"/>
      <c r="G1169" s="44" t="s">
        <v>1466</v>
      </c>
      <c r="H1169" s="44" t="s">
        <v>8198</v>
      </c>
      <c r="I1169" s="46" t="s">
        <v>8199</v>
      </c>
      <c r="J1169" s="46" t="s">
        <v>8200</v>
      </c>
      <c r="K1169" s="46" t="s">
        <v>1523</v>
      </c>
      <c r="L1169" s="46" t="s">
        <v>1474</v>
      </c>
      <c r="M1169" s="46" t="s">
        <v>8201</v>
      </c>
      <c r="N1169" s="46" t="s">
        <v>1495</v>
      </c>
      <c r="O1169" s="44" t="s">
        <v>2744</v>
      </c>
      <c r="P1169" s="44" t="s">
        <v>8202</v>
      </c>
      <c r="Q1169" s="44" t="s">
        <v>1463</v>
      </c>
      <c r="R1169" s="44" t="s">
        <v>1463</v>
      </c>
      <c r="S1169" s="43"/>
      <c r="T1169" s="51">
        <v>45392</v>
      </c>
    </row>
    <row r="1170" spans="1:20" ht="26.45">
      <c r="A1170" s="47" t="s">
        <v>454</v>
      </c>
      <c r="B1170" s="47" t="s">
        <v>3113</v>
      </c>
      <c r="C1170" s="48" t="s">
        <v>1247</v>
      </c>
      <c r="D1170" s="47" t="s">
        <v>1414</v>
      </c>
      <c r="E1170" s="47" t="s">
        <v>1481</v>
      </c>
      <c r="F1170" s="47"/>
      <c r="G1170" s="47" t="s">
        <v>1466</v>
      </c>
      <c r="H1170" s="47" t="s">
        <v>8203</v>
      </c>
      <c r="I1170" s="50" t="s">
        <v>8204</v>
      </c>
      <c r="J1170" s="50" t="s">
        <v>8205</v>
      </c>
      <c r="K1170" s="50" t="s">
        <v>1484</v>
      </c>
      <c r="L1170" s="50" t="s">
        <v>2117</v>
      </c>
      <c r="M1170" s="50" t="s">
        <v>8206</v>
      </c>
      <c r="N1170" s="50" t="s">
        <v>1525</v>
      </c>
      <c r="O1170" s="47" t="s">
        <v>3117</v>
      </c>
      <c r="P1170" s="47" t="s">
        <v>8207</v>
      </c>
      <c r="Q1170" s="47" t="s">
        <v>1463</v>
      </c>
      <c r="R1170" s="47" t="s">
        <v>1463</v>
      </c>
      <c r="S1170" s="43"/>
      <c r="T1170" s="49">
        <v>45698</v>
      </c>
    </row>
    <row r="1171" spans="1:20" ht="26.45">
      <c r="A1171" s="44" t="s">
        <v>1248</v>
      </c>
      <c r="B1171" s="44" t="s">
        <v>8208</v>
      </c>
      <c r="C1171" s="45" t="s">
        <v>1249</v>
      </c>
      <c r="D1171" s="44" t="s">
        <v>1419</v>
      </c>
      <c r="E1171" s="44" t="s">
        <v>1481</v>
      </c>
      <c r="F1171" s="44"/>
      <c r="G1171" s="44" t="s">
        <v>1466</v>
      </c>
      <c r="H1171" s="44" t="s">
        <v>8209</v>
      </c>
      <c r="I1171" s="46" t="s">
        <v>8210</v>
      </c>
      <c r="J1171" s="46" t="s">
        <v>8211</v>
      </c>
      <c r="K1171" s="46" t="s">
        <v>2061</v>
      </c>
      <c r="L1171" s="46" t="s">
        <v>1504</v>
      </c>
      <c r="M1171" s="46" t="s">
        <v>8212</v>
      </c>
      <c r="N1171" s="46" t="s">
        <v>1641</v>
      </c>
      <c r="O1171" s="44" t="s">
        <v>8213</v>
      </c>
      <c r="P1171" s="44" t="s">
        <v>8214</v>
      </c>
      <c r="Q1171" s="44" t="s">
        <v>1463</v>
      </c>
      <c r="R1171" s="44" t="s">
        <v>1463</v>
      </c>
      <c r="S1171" s="43"/>
      <c r="T1171" s="51">
        <v>45693</v>
      </c>
    </row>
    <row r="1172" spans="1:20" ht="26.45">
      <c r="A1172" s="47" t="s">
        <v>455</v>
      </c>
      <c r="B1172" s="47" t="s">
        <v>8215</v>
      </c>
      <c r="C1172" s="48" t="s">
        <v>1250</v>
      </c>
      <c r="D1172" s="47" t="s">
        <v>1410</v>
      </c>
      <c r="E1172" s="47" t="s">
        <v>1481</v>
      </c>
      <c r="F1172" s="47"/>
      <c r="G1172" s="47" t="s">
        <v>1466</v>
      </c>
      <c r="H1172" s="47" t="s">
        <v>8216</v>
      </c>
      <c r="I1172" s="50" t="s">
        <v>1250</v>
      </c>
      <c r="J1172" s="50" t="s">
        <v>8217</v>
      </c>
      <c r="K1172" s="50" t="s">
        <v>2989</v>
      </c>
      <c r="L1172" s="50" t="s">
        <v>1474</v>
      </c>
      <c r="M1172" s="50" t="s">
        <v>8218</v>
      </c>
      <c r="N1172" s="50" t="s">
        <v>1525</v>
      </c>
      <c r="O1172" s="47" t="s">
        <v>8219</v>
      </c>
      <c r="P1172" s="47" t="s">
        <v>8220</v>
      </c>
      <c r="Q1172" s="47" t="s">
        <v>1463</v>
      </c>
      <c r="R1172" s="47" t="s">
        <v>1463</v>
      </c>
      <c r="S1172" s="43"/>
      <c r="T1172" s="49">
        <v>45699</v>
      </c>
    </row>
    <row r="1173" spans="1:20">
      <c r="A1173" s="44" t="s">
        <v>8221</v>
      </c>
      <c r="B1173" s="44" t="s">
        <v>8222</v>
      </c>
      <c r="C1173" s="45" t="s">
        <v>8223</v>
      </c>
      <c r="D1173" s="44" t="s">
        <v>1432</v>
      </c>
      <c r="E1173" s="44" t="s">
        <v>1481</v>
      </c>
      <c r="F1173" s="44"/>
      <c r="G1173" s="44" t="s">
        <v>1461</v>
      </c>
      <c r="H1173" s="44"/>
      <c r="I1173" s="46" t="s">
        <v>8223</v>
      </c>
      <c r="J1173" s="46"/>
      <c r="K1173" s="46"/>
      <c r="L1173" s="46"/>
      <c r="M1173" s="46"/>
      <c r="N1173" s="46"/>
      <c r="O1173" s="44" t="s">
        <v>8224</v>
      </c>
      <c r="P1173" s="44"/>
      <c r="Q1173" s="44" t="s">
        <v>1463</v>
      </c>
      <c r="R1173" s="44" t="s">
        <v>1463</v>
      </c>
      <c r="S1173" s="43"/>
      <c r="T1173" s="44"/>
    </row>
    <row r="1174" spans="1:20">
      <c r="A1174" s="47" t="s">
        <v>8225</v>
      </c>
      <c r="B1174" s="47" t="s">
        <v>8226</v>
      </c>
      <c r="C1174" s="48" t="s">
        <v>8227</v>
      </c>
      <c r="D1174" s="47" t="s">
        <v>1425</v>
      </c>
      <c r="E1174" s="47" t="s">
        <v>1481</v>
      </c>
      <c r="F1174" s="47"/>
      <c r="G1174" s="47" t="s">
        <v>1461</v>
      </c>
      <c r="H1174" s="47"/>
      <c r="I1174" s="50"/>
      <c r="J1174" s="50"/>
      <c r="K1174" s="50"/>
      <c r="L1174" s="50"/>
      <c r="M1174" s="50"/>
      <c r="N1174" s="50"/>
      <c r="O1174" s="47"/>
      <c r="P1174" s="47"/>
      <c r="Q1174" s="47" t="s">
        <v>1463</v>
      </c>
      <c r="R1174" s="47" t="s">
        <v>1463</v>
      </c>
      <c r="S1174" s="43"/>
      <c r="T1174" s="47"/>
    </row>
    <row r="1175" spans="1:20">
      <c r="A1175" s="44" t="s">
        <v>8228</v>
      </c>
      <c r="B1175" s="44" t="s">
        <v>8229</v>
      </c>
      <c r="C1175" s="45" t="s">
        <v>8230</v>
      </c>
      <c r="D1175" s="44" t="s">
        <v>1419</v>
      </c>
      <c r="E1175" s="44" t="s">
        <v>1481</v>
      </c>
      <c r="F1175" s="44"/>
      <c r="G1175" s="44" t="s">
        <v>1461</v>
      </c>
      <c r="H1175" s="44"/>
      <c r="I1175" s="46" t="s">
        <v>8231</v>
      </c>
      <c r="J1175" s="46" t="s">
        <v>8232</v>
      </c>
      <c r="K1175" s="46" t="s">
        <v>2061</v>
      </c>
      <c r="L1175" s="46" t="s">
        <v>1504</v>
      </c>
      <c r="M1175" s="46" t="s">
        <v>8233</v>
      </c>
      <c r="N1175" s="46" t="s">
        <v>1516</v>
      </c>
      <c r="O1175" s="44" t="s">
        <v>8234</v>
      </c>
      <c r="P1175" s="44"/>
      <c r="Q1175" s="44" t="s">
        <v>1463</v>
      </c>
      <c r="R1175" s="44" t="s">
        <v>1463</v>
      </c>
      <c r="S1175" s="43"/>
      <c r="T1175" s="51">
        <v>43717</v>
      </c>
    </row>
    <row r="1176" spans="1:20" ht="26.45">
      <c r="A1176" s="47" t="s">
        <v>456</v>
      </c>
      <c r="B1176" s="47" t="s">
        <v>8235</v>
      </c>
      <c r="C1176" s="48" t="s">
        <v>1251</v>
      </c>
      <c r="D1176" s="47" t="s">
        <v>1419</v>
      </c>
      <c r="E1176" s="47" t="s">
        <v>1481</v>
      </c>
      <c r="F1176" s="47"/>
      <c r="G1176" s="47" t="s">
        <v>1466</v>
      </c>
      <c r="H1176" s="47" t="s">
        <v>8236</v>
      </c>
      <c r="I1176" s="50" t="s">
        <v>8237</v>
      </c>
      <c r="J1176" s="50" t="s">
        <v>8238</v>
      </c>
      <c r="K1176" s="50" t="s">
        <v>8239</v>
      </c>
      <c r="L1176" s="50" t="s">
        <v>8240</v>
      </c>
      <c r="M1176" s="50" t="s">
        <v>8241</v>
      </c>
      <c r="N1176" s="50" t="s">
        <v>1629</v>
      </c>
      <c r="O1176" s="47" t="s">
        <v>8242</v>
      </c>
      <c r="P1176" s="47" t="s">
        <v>8243</v>
      </c>
      <c r="Q1176" s="47" t="s">
        <v>1463</v>
      </c>
      <c r="R1176" s="47" t="s">
        <v>1463</v>
      </c>
      <c r="S1176" s="43"/>
      <c r="T1176" s="49">
        <v>45553</v>
      </c>
    </row>
    <row r="1177" spans="1:20">
      <c r="A1177" s="44" t="s">
        <v>8244</v>
      </c>
      <c r="B1177" s="44" t="s">
        <v>8245</v>
      </c>
      <c r="C1177" s="45" t="s">
        <v>1251</v>
      </c>
      <c r="D1177" s="44" t="s">
        <v>1419</v>
      </c>
      <c r="E1177" s="44" t="s">
        <v>1481</v>
      </c>
      <c r="F1177" s="44"/>
      <c r="G1177" s="44" t="s">
        <v>1663</v>
      </c>
      <c r="H1177" s="44"/>
      <c r="I1177" s="46" t="s">
        <v>1251</v>
      </c>
      <c r="J1177" s="46"/>
      <c r="K1177" s="46"/>
      <c r="L1177" s="46"/>
      <c r="M1177" s="46"/>
      <c r="N1177" s="46"/>
      <c r="O1177" s="44" t="s">
        <v>8244</v>
      </c>
      <c r="P1177" s="44"/>
      <c r="Q1177" s="44" t="s">
        <v>1463</v>
      </c>
      <c r="R1177" s="44" t="s">
        <v>1463</v>
      </c>
      <c r="S1177" s="43"/>
      <c r="T1177" s="44"/>
    </row>
    <row r="1178" spans="1:20" ht="26.45">
      <c r="A1178" s="47" t="s">
        <v>457</v>
      </c>
      <c r="B1178" s="47" t="s">
        <v>8246</v>
      </c>
      <c r="C1178" s="48" t="s">
        <v>1252</v>
      </c>
      <c r="D1178" s="47" t="s">
        <v>1419</v>
      </c>
      <c r="E1178" s="47" t="s">
        <v>1481</v>
      </c>
      <c r="F1178" s="47"/>
      <c r="G1178" s="47" t="s">
        <v>1466</v>
      </c>
      <c r="H1178" s="47" t="s">
        <v>8247</v>
      </c>
      <c r="I1178" s="50" t="s">
        <v>8248</v>
      </c>
      <c r="J1178" s="50" t="s">
        <v>8249</v>
      </c>
      <c r="K1178" s="50" t="s">
        <v>1493</v>
      </c>
      <c r="L1178" s="50" t="s">
        <v>1474</v>
      </c>
      <c r="M1178" s="50" t="s">
        <v>8250</v>
      </c>
      <c r="N1178" s="50" t="s">
        <v>1629</v>
      </c>
      <c r="O1178" s="47" t="s">
        <v>8251</v>
      </c>
      <c r="P1178" s="47" t="s">
        <v>8252</v>
      </c>
      <c r="Q1178" s="47" t="s">
        <v>1463</v>
      </c>
      <c r="R1178" s="47" t="s">
        <v>1463</v>
      </c>
      <c r="S1178" s="43"/>
      <c r="T1178" s="49">
        <v>45434</v>
      </c>
    </row>
    <row r="1179" spans="1:20">
      <c r="A1179" s="44" t="s">
        <v>8253</v>
      </c>
      <c r="B1179" s="44" t="s">
        <v>8254</v>
      </c>
      <c r="C1179" s="45" t="s">
        <v>8255</v>
      </c>
      <c r="D1179" s="44" t="s">
        <v>1419</v>
      </c>
      <c r="E1179" s="44" t="s">
        <v>1460</v>
      </c>
      <c r="F1179" s="51">
        <v>42425.824137349497</v>
      </c>
      <c r="G1179" s="44" t="s">
        <v>1466</v>
      </c>
      <c r="H1179" s="44" t="s">
        <v>8256</v>
      </c>
      <c r="I1179" s="46" t="s">
        <v>8255</v>
      </c>
      <c r="J1179" s="46"/>
      <c r="K1179" s="46"/>
      <c r="L1179" s="46"/>
      <c r="M1179" s="46"/>
      <c r="N1179" s="46"/>
      <c r="O1179" s="44" t="s">
        <v>8257</v>
      </c>
      <c r="P1179" s="44"/>
      <c r="Q1179" s="44" t="s">
        <v>1463</v>
      </c>
      <c r="R1179" s="44" t="s">
        <v>1463</v>
      </c>
      <c r="S1179" s="43"/>
      <c r="T1179" s="44"/>
    </row>
    <row r="1180" spans="1:20" ht="26.45">
      <c r="A1180" s="47" t="s">
        <v>8258</v>
      </c>
      <c r="B1180" s="47" t="s">
        <v>8259</v>
      </c>
      <c r="C1180" s="48" t="s">
        <v>8260</v>
      </c>
      <c r="D1180" s="47" t="s">
        <v>1414</v>
      </c>
      <c r="E1180" s="47" t="s">
        <v>1481</v>
      </c>
      <c r="F1180" s="47"/>
      <c r="G1180" s="47" t="s">
        <v>1490</v>
      </c>
      <c r="H1180" s="47" t="s">
        <v>8261</v>
      </c>
      <c r="I1180" s="50"/>
      <c r="J1180" s="50" t="s">
        <v>8262</v>
      </c>
      <c r="K1180" s="50" t="s">
        <v>2764</v>
      </c>
      <c r="L1180" s="50" t="s">
        <v>1504</v>
      </c>
      <c r="M1180" s="50" t="s">
        <v>8263</v>
      </c>
      <c r="N1180" s="50" t="s">
        <v>1525</v>
      </c>
      <c r="O1180" s="47"/>
      <c r="P1180" s="47"/>
      <c r="Q1180" s="47" t="s">
        <v>1463</v>
      </c>
      <c r="R1180" s="47" t="s">
        <v>1463</v>
      </c>
      <c r="S1180" s="43"/>
      <c r="T1180" s="47"/>
    </row>
    <row r="1181" spans="1:20">
      <c r="A1181" s="44" t="s">
        <v>8264</v>
      </c>
      <c r="B1181" s="44" t="s">
        <v>8265</v>
      </c>
      <c r="C1181" s="45" t="s">
        <v>8266</v>
      </c>
      <c r="D1181" s="44" t="s">
        <v>1434</v>
      </c>
      <c r="E1181" s="44" t="s">
        <v>1460</v>
      </c>
      <c r="F1181" s="51">
        <v>43594.726822916702</v>
      </c>
      <c r="G1181" s="44" t="s">
        <v>1466</v>
      </c>
      <c r="H1181" s="44" t="s">
        <v>8267</v>
      </c>
      <c r="I1181" s="46" t="s">
        <v>8268</v>
      </c>
      <c r="J1181" s="46" t="s">
        <v>8269</v>
      </c>
      <c r="K1181" s="46" t="s">
        <v>6736</v>
      </c>
      <c r="L1181" s="46" t="s">
        <v>4517</v>
      </c>
      <c r="M1181" s="46" t="s">
        <v>8270</v>
      </c>
      <c r="N1181" s="46" t="s">
        <v>1476</v>
      </c>
      <c r="O1181" s="44" t="s">
        <v>8271</v>
      </c>
      <c r="P1181" s="44"/>
      <c r="Q1181" s="44" t="s">
        <v>1463</v>
      </c>
      <c r="R1181" s="44" t="s">
        <v>1463</v>
      </c>
      <c r="S1181" s="43"/>
      <c r="T1181" s="51">
        <v>43928</v>
      </c>
    </row>
    <row r="1182" spans="1:20" ht="26.45">
      <c r="A1182" s="47" t="s">
        <v>8272</v>
      </c>
      <c r="B1182" s="47" t="s">
        <v>8273</v>
      </c>
      <c r="C1182" s="48" t="s">
        <v>8274</v>
      </c>
      <c r="D1182" s="47" t="s">
        <v>1425</v>
      </c>
      <c r="E1182" s="47" t="s">
        <v>1481</v>
      </c>
      <c r="F1182" s="47"/>
      <c r="G1182" s="47" t="s">
        <v>1490</v>
      </c>
      <c r="H1182" s="47" t="s">
        <v>8275</v>
      </c>
      <c r="I1182" s="50" t="s">
        <v>8276</v>
      </c>
      <c r="J1182" s="50" t="s">
        <v>8277</v>
      </c>
      <c r="K1182" s="50" t="s">
        <v>8278</v>
      </c>
      <c r="L1182" s="50" t="s">
        <v>1504</v>
      </c>
      <c r="M1182" s="50" t="s">
        <v>8279</v>
      </c>
      <c r="N1182" s="50" t="s">
        <v>1495</v>
      </c>
      <c r="O1182" s="47"/>
      <c r="P1182" s="47" t="s">
        <v>8280</v>
      </c>
      <c r="Q1182" s="47" t="s">
        <v>1463</v>
      </c>
      <c r="R1182" s="47" t="s">
        <v>1463</v>
      </c>
      <c r="S1182" s="43"/>
      <c r="T1182" s="49">
        <v>45442</v>
      </c>
    </row>
    <row r="1183" spans="1:20" ht="39.6">
      <c r="A1183" s="44" t="s">
        <v>8281</v>
      </c>
      <c r="B1183" s="44" t="s">
        <v>8282</v>
      </c>
      <c r="C1183" s="45" t="s">
        <v>8283</v>
      </c>
      <c r="D1183" s="44" t="s">
        <v>1432</v>
      </c>
      <c r="E1183" s="44" t="s">
        <v>1481</v>
      </c>
      <c r="F1183" s="44"/>
      <c r="G1183" s="44" t="s">
        <v>1511</v>
      </c>
      <c r="H1183" s="44" t="s">
        <v>8284</v>
      </c>
      <c r="I1183" s="46" t="s">
        <v>8283</v>
      </c>
      <c r="J1183" s="46" t="s">
        <v>8285</v>
      </c>
      <c r="K1183" s="46" t="s">
        <v>8286</v>
      </c>
      <c r="L1183" s="46" t="s">
        <v>1474</v>
      </c>
      <c r="M1183" s="46" t="s">
        <v>8287</v>
      </c>
      <c r="N1183" s="46" t="s">
        <v>1641</v>
      </c>
      <c r="O1183" s="44" t="s">
        <v>8288</v>
      </c>
      <c r="P1183" s="44"/>
      <c r="Q1183" s="44" t="s">
        <v>1463</v>
      </c>
      <c r="R1183" s="44" t="s">
        <v>1463</v>
      </c>
      <c r="S1183" s="43"/>
      <c r="T1183" s="51">
        <v>44658</v>
      </c>
    </row>
    <row r="1184" spans="1:20" ht="26.45">
      <c r="A1184" s="47" t="s">
        <v>1253</v>
      </c>
      <c r="B1184" s="47" t="s">
        <v>8289</v>
      </c>
      <c r="C1184" s="48" t="s">
        <v>1254</v>
      </c>
      <c r="D1184" s="47" t="s">
        <v>1419</v>
      </c>
      <c r="E1184" s="47" t="s">
        <v>1481</v>
      </c>
      <c r="F1184" s="47"/>
      <c r="G1184" s="47" t="s">
        <v>1466</v>
      </c>
      <c r="H1184" s="47" t="s">
        <v>8290</v>
      </c>
      <c r="I1184" s="50" t="s">
        <v>1254</v>
      </c>
      <c r="J1184" s="50" t="s">
        <v>8291</v>
      </c>
      <c r="K1184" s="50" t="s">
        <v>1493</v>
      </c>
      <c r="L1184" s="50" t="s">
        <v>1474</v>
      </c>
      <c r="M1184" s="50" t="s">
        <v>8292</v>
      </c>
      <c r="N1184" s="50" t="s">
        <v>1495</v>
      </c>
      <c r="O1184" s="47" t="s">
        <v>8293</v>
      </c>
      <c r="P1184" s="47" t="s">
        <v>8294</v>
      </c>
      <c r="Q1184" s="47" t="s">
        <v>1463</v>
      </c>
      <c r="R1184" s="47" t="s">
        <v>1463</v>
      </c>
      <c r="S1184" s="43"/>
      <c r="T1184" s="49">
        <v>45541</v>
      </c>
    </row>
    <row r="1185" spans="1:20" ht="26.45">
      <c r="A1185" s="44" t="s">
        <v>1255</v>
      </c>
      <c r="B1185" s="44" t="s">
        <v>8295</v>
      </c>
      <c r="C1185" s="45" t="s">
        <v>1256</v>
      </c>
      <c r="D1185" s="44" t="s">
        <v>1419</v>
      </c>
      <c r="E1185" s="44" t="s">
        <v>1481</v>
      </c>
      <c r="F1185" s="44"/>
      <c r="G1185" s="44" t="s">
        <v>1466</v>
      </c>
      <c r="H1185" s="44" t="s">
        <v>8296</v>
      </c>
      <c r="I1185" s="46" t="s">
        <v>8297</v>
      </c>
      <c r="J1185" s="46" t="s">
        <v>8298</v>
      </c>
      <c r="K1185" s="46" t="s">
        <v>1549</v>
      </c>
      <c r="L1185" s="46" t="s">
        <v>1504</v>
      </c>
      <c r="M1185" s="46" t="s">
        <v>2830</v>
      </c>
      <c r="N1185" s="46" t="s">
        <v>1729</v>
      </c>
      <c r="O1185" s="44" t="s">
        <v>8299</v>
      </c>
      <c r="P1185" s="44" t="s">
        <v>8300</v>
      </c>
      <c r="Q1185" s="44" t="s">
        <v>1463</v>
      </c>
      <c r="R1185" s="44" t="s">
        <v>1463</v>
      </c>
      <c r="S1185" s="43"/>
      <c r="T1185" s="51">
        <v>45345</v>
      </c>
    </row>
    <row r="1186" spans="1:20" ht="26.45">
      <c r="A1186" s="47" t="s">
        <v>8301</v>
      </c>
      <c r="B1186" s="47" t="s">
        <v>8302</v>
      </c>
      <c r="C1186" s="48" t="s">
        <v>8303</v>
      </c>
      <c r="D1186" s="47" t="s">
        <v>1419</v>
      </c>
      <c r="E1186" s="47" t="s">
        <v>1481</v>
      </c>
      <c r="F1186" s="47"/>
      <c r="G1186" s="47" t="s">
        <v>1490</v>
      </c>
      <c r="H1186" s="47"/>
      <c r="I1186" s="50" t="s">
        <v>8303</v>
      </c>
      <c r="J1186" s="50" t="s">
        <v>8304</v>
      </c>
      <c r="K1186" s="50" t="s">
        <v>1523</v>
      </c>
      <c r="L1186" s="50" t="s">
        <v>1504</v>
      </c>
      <c r="M1186" s="50" t="s">
        <v>8305</v>
      </c>
      <c r="N1186" s="50" t="s">
        <v>1495</v>
      </c>
      <c r="O1186" s="47" t="s">
        <v>8306</v>
      </c>
      <c r="P1186" s="47"/>
      <c r="Q1186" s="47" t="s">
        <v>1463</v>
      </c>
      <c r="R1186" s="47" t="s">
        <v>1463</v>
      </c>
      <c r="S1186" s="43"/>
      <c r="T1186" s="49">
        <v>43139</v>
      </c>
    </row>
    <row r="1187" spans="1:20">
      <c r="A1187" s="44" t="s">
        <v>8307</v>
      </c>
      <c r="B1187" s="44"/>
      <c r="C1187" s="45" t="s">
        <v>8308</v>
      </c>
      <c r="D1187" s="44" t="s">
        <v>1414</v>
      </c>
      <c r="E1187" s="44" t="s">
        <v>1460</v>
      </c>
      <c r="F1187" s="51">
        <v>41457.382443020797</v>
      </c>
      <c r="G1187" s="44" t="s">
        <v>1466</v>
      </c>
      <c r="H1187" s="44"/>
      <c r="I1187" s="46"/>
      <c r="J1187" s="46"/>
      <c r="K1187" s="46"/>
      <c r="L1187" s="46"/>
      <c r="M1187" s="46"/>
      <c r="N1187" s="46"/>
      <c r="O1187" s="44"/>
      <c r="P1187" s="44"/>
      <c r="Q1187" s="44" t="s">
        <v>1463</v>
      </c>
      <c r="R1187" s="44" t="s">
        <v>1463</v>
      </c>
      <c r="S1187" s="43"/>
      <c r="T1187" s="44"/>
    </row>
    <row r="1188" spans="1:20" ht="26.45">
      <c r="A1188" s="47" t="s">
        <v>8309</v>
      </c>
      <c r="B1188" s="47" t="s">
        <v>8310</v>
      </c>
      <c r="C1188" s="48" t="s">
        <v>8311</v>
      </c>
      <c r="D1188" s="47" t="s">
        <v>1419</v>
      </c>
      <c r="E1188" s="47" t="s">
        <v>1481</v>
      </c>
      <c r="F1188" s="47"/>
      <c r="G1188" s="47" t="s">
        <v>1490</v>
      </c>
      <c r="H1188" s="47"/>
      <c r="I1188" s="50" t="s">
        <v>8311</v>
      </c>
      <c r="J1188" s="50" t="s">
        <v>8312</v>
      </c>
      <c r="K1188" s="50" t="s">
        <v>1493</v>
      </c>
      <c r="L1188" s="50" t="s">
        <v>1504</v>
      </c>
      <c r="M1188" s="50" t="s">
        <v>8313</v>
      </c>
      <c r="N1188" s="50"/>
      <c r="O1188" s="47"/>
      <c r="P1188" s="47"/>
      <c r="Q1188" s="47" t="s">
        <v>1463</v>
      </c>
      <c r="R1188" s="47" t="s">
        <v>1463</v>
      </c>
      <c r="S1188" s="43"/>
      <c r="T1188" s="47"/>
    </row>
    <row r="1189" spans="1:20" ht="26.45">
      <c r="A1189" s="44" t="s">
        <v>8314</v>
      </c>
      <c r="B1189" s="44" t="s">
        <v>8315</v>
      </c>
      <c r="C1189" s="45" t="s">
        <v>8316</v>
      </c>
      <c r="D1189" s="44" t="s">
        <v>1419</v>
      </c>
      <c r="E1189" s="44" t="s">
        <v>1481</v>
      </c>
      <c r="F1189" s="44"/>
      <c r="G1189" s="44" t="s">
        <v>1490</v>
      </c>
      <c r="H1189" s="44" t="s">
        <v>8317</v>
      </c>
      <c r="I1189" s="46" t="s">
        <v>8316</v>
      </c>
      <c r="J1189" s="46" t="s">
        <v>8318</v>
      </c>
      <c r="K1189" s="46" t="s">
        <v>1523</v>
      </c>
      <c r="L1189" s="46" t="s">
        <v>1504</v>
      </c>
      <c r="M1189" s="46" t="s">
        <v>2719</v>
      </c>
      <c r="N1189" s="46" t="s">
        <v>1629</v>
      </c>
      <c r="O1189" s="44"/>
      <c r="P1189" s="44"/>
      <c r="Q1189" s="44" t="s">
        <v>1463</v>
      </c>
      <c r="R1189" s="44" t="s">
        <v>1463</v>
      </c>
      <c r="S1189" s="43"/>
      <c r="T1189" s="44"/>
    </row>
    <row r="1190" spans="1:20">
      <c r="A1190" s="47" t="s">
        <v>8319</v>
      </c>
      <c r="B1190" s="47"/>
      <c r="C1190" s="48" t="s">
        <v>8320</v>
      </c>
      <c r="D1190" s="47" t="s">
        <v>1430</v>
      </c>
      <c r="E1190" s="47" t="s">
        <v>1460</v>
      </c>
      <c r="F1190" s="49">
        <v>41827.879245567099</v>
      </c>
      <c r="G1190" s="47" t="s">
        <v>1466</v>
      </c>
      <c r="H1190" s="47"/>
      <c r="I1190" s="50"/>
      <c r="J1190" s="50"/>
      <c r="K1190" s="50"/>
      <c r="L1190" s="50"/>
      <c r="M1190" s="50"/>
      <c r="N1190" s="50"/>
      <c r="O1190" s="47"/>
      <c r="P1190" s="47"/>
      <c r="Q1190" s="47" t="s">
        <v>1463</v>
      </c>
      <c r="R1190" s="47" t="s">
        <v>1463</v>
      </c>
      <c r="S1190" s="43"/>
      <c r="T1190" s="47"/>
    </row>
    <row r="1191" spans="1:20" ht="26.45">
      <c r="A1191" s="44" t="s">
        <v>458</v>
      </c>
      <c r="B1191" s="44" t="s">
        <v>8321</v>
      </c>
      <c r="C1191" s="45" t="s">
        <v>1257</v>
      </c>
      <c r="D1191" s="44" t="s">
        <v>1419</v>
      </c>
      <c r="E1191" s="44" t="s">
        <v>1481</v>
      </c>
      <c r="F1191" s="44"/>
      <c r="G1191" s="44" t="s">
        <v>1687</v>
      </c>
      <c r="H1191" s="44" t="s">
        <v>8322</v>
      </c>
      <c r="I1191" s="46" t="s">
        <v>8323</v>
      </c>
      <c r="J1191" s="46" t="s">
        <v>8324</v>
      </c>
      <c r="K1191" s="46" t="s">
        <v>6556</v>
      </c>
      <c r="L1191" s="46" t="s">
        <v>1504</v>
      </c>
      <c r="M1191" s="46" t="s">
        <v>8325</v>
      </c>
      <c r="N1191" s="46" t="s">
        <v>1495</v>
      </c>
      <c r="O1191" s="44" t="s">
        <v>8326</v>
      </c>
      <c r="P1191" s="44" t="s">
        <v>8327</v>
      </c>
      <c r="Q1191" s="44" t="s">
        <v>1695</v>
      </c>
      <c r="R1191" s="44" t="s">
        <v>1463</v>
      </c>
      <c r="S1191" s="43"/>
      <c r="T1191" s="51">
        <v>45399</v>
      </c>
    </row>
    <row r="1192" spans="1:20" ht="26.45">
      <c r="A1192" s="47" t="s">
        <v>1258</v>
      </c>
      <c r="B1192" s="47" t="s">
        <v>8328</v>
      </c>
      <c r="C1192" s="48" t="s">
        <v>1259</v>
      </c>
      <c r="D1192" s="47" t="s">
        <v>1419</v>
      </c>
      <c r="E1192" s="47" t="s">
        <v>1481</v>
      </c>
      <c r="F1192" s="47"/>
      <c r="G1192" s="47" t="s">
        <v>1687</v>
      </c>
      <c r="H1192" s="47" t="s">
        <v>8329</v>
      </c>
      <c r="I1192" s="50" t="s">
        <v>8330</v>
      </c>
      <c r="J1192" s="50" t="s">
        <v>8331</v>
      </c>
      <c r="K1192" s="50" t="s">
        <v>6556</v>
      </c>
      <c r="L1192" s="50" t="s">
        <v>1504</v>
      </c>
      <c r="M1192" s="50" t="s">
        <v>8332</v>
      </c>
      <c r="N1192" s="50" t="s">
        <v>1495</v>
      </c>
      <c r="O1192" s="47" t="s">
        <v>8333</v>
      </c>
      <c r="P1192" s="47" t="s">
        <v>8334</v>
      </c>
      <c r="Q1192" s="47" t="s">
        <v>1463</v>
      </c>
      <c r="R1192" s="47" t="s">
        <v>1463</v>
      </c>
      <c r="S1192" s="43"/>
      <c r="T1192" s="49">
        <v>45562</v>
      </c>
    </row>
    <row r="1193" spans="1:20" ht="26.45">
      <c r="A1193" s="44" t="s">
        <v>459</v>
      </c>
      <c r="B1193" s="44" t="s">
        <v>8335</v>
      </c>
      <c r="C1193" s="45" t="s">
        <v>1260</v>
      </c>
      <c r="D1193" s="44" t="s">
        <v>1410</v>
      </c>
      <c r="E1193" s="44" t="s">
        <v>1481</v>
      </c>
      <c r="F1193" s="44"/>
      <c r="G1193" s="44" t="s">
        <v>1687</v>
      </c>
      <c r="H1193" s="44" t="s">
        <v>8336</v>
      </c>
      <c r="I1193" s="46" t="s">
        <v>1260</v>
      </c>
      <c r="J1193" s="46" t="s">
        <v>8337</v>
      </c>
      <c r="K1193" s="46" t="s">
        <v>4024</v>
      </c>
      <c r="L1193" s="46" t="s">
        <v>1474</v>
      </c>
      <c r="M1193" s="46" t="s">
        <v>8338</v>
      </c>
      <c r="N1193" s="46" t="s">
        <v>1641</v>
      </c>
      <c r="O1193" s="44" t="s">
        <v>8339</v>
      </c>
      <c r="P1193" s="44" t="s">
        <v>8340</v>
      </c>
      <c r="Q1193" s="44" t="s">
        <v>1695</v>
      </c>
      <c r="R1193" s="44" t="s">
        <v>1463</v>
      </c>
      <c r="S1193" s="43"/>
      <c r="T1193" s="51">
        <v>45426</v>
      </c>
    </row>
    <row r="1194" spans="1:20" ht="26.45">
      <c r="A1194" s="47" t="s">
        <v>460</v>
      </c>
      <c r="B1194" s="47" t="s">
        <v>8341</v>
      </c>
      <c r="C1194" s="48" t="s">
        <v>1261</v>
      </c>
      <c r="D1194" s="47" t="s">
        <v>1428</v>
      </c>
      <c r="E1194" s="47" t="s">
        <v>1481</v>
      </c>
      <c r="F1194" s="47"/>
      <c r="G1194" s="47" t="s">
        <v>1687</v>
      </c>
      <c r="H1194" s="47" t="s">
        <v>8342</v>
      </c>
      <c r="I1194" s="50" t="s">
        <v>8343</v>
      </c>
      <c r="J1194" s="50" t="s">
        <v>8344</v>
      </c>
      <c r="K1194" s="50" t="s">
        <v>8345</v>
      </c>
      <c r="L1194" s="50" t="s">
        <v>1504</v>
      </c>
      <c r="M1194" s="50" t="s">
        <v>8346</v>
      </c>
      <c r="N1194" s="50" t="s">
        <v>1531</v>
      </c>
      <c r="O1194" s="47" t="s">
        <v>8347</v>
      </c>
      <c r="P1194" s="47" t="s">
        <v>8348</v>
      </c>
      <c r="Q1194" s="47" t="s">
        <v>1695</v>
      </c>
      <c r="R1194" s="47" t="s">
        <v>1463</v>
      </c>
      <c r="S1194" s="43"/>
      <c r="T1194" s="49">
        <v>45593</v>
      </c>
    </row>
    <row r="1195" spans="1:20">
      <c r="A1195" s="44" t="s">
        <v>8349</v>
      </c>
      <c r="B1195" s="44" t="s">
        <v>8350</v>
      </c>
      <c r="C1195" s="45" t="s">
        <v>8351</v>
      </c>
      <c r="D1195" s="44" t="s">
        <v>1430</v>
      </c>
      <c r="E1195" s="44" t="s">
        <v>1481</v>
      </c>
      <c r="F1195" s="44"/>
      <c r="G1195" s="44" t="s">
        <v>1618</v>
      </c>
      <c r="H1195" s="44"/>
      <c r="I1195" s="46"/>
      <c r="J1195" s="46"/>
      <c r="K1195" s="46"/>
      <c r="L1195" s="46"/>
      <c r="M1195" s="46"/>
      <c r="N1195" s="46"/>
      <c r="O1195" s="44"/>
      <c r="P1195" s="44"/>
      <c r="Q1195" s="44" t="s">
        <v>1463</v>
      </c>
      <c r="R1195" s="44" t="s">
        <v>1463</v>
      </c>
      <c r="S1195" s="43"/>
      <c r="T1195" s="44"/>
    </row>
    <row r="1196" spans="1:20" ht="26.45">
      <c r="A1196" s="47" t="s">
        <v>461</v>
      </c>
      <c r="B1196" s="47" t="s">
        <v>8352</v>
      </c>
      <c r="C1196" s="48" t="s">
        <v>1262</v>
      </c>
      <c r="D1196" s="47" t="s">
        <v>1434</v>
      </c>
      <c r="E1196" s="47" t="s">
        <v>1481</v>
      </c>
      <c r="F1196" s="47"/>
      <c r="G1196" s="47" t="s">
        <v>1687</v>
      </c>
      <c r="H1196" s="47" t="s">
        <v>8353</v>
      </c>
      <c r="I1196" s="50" t="s">
        <v>8354</v>
      </c>
      <c r="J1196" s="50" t="s">
        <v>8355</v>
      </c>
      <c r="K1196" s="50" t="s">
        <v>8356</v>
      </c>
      <c r="L1196" s="50" t="s">
        <v>1504</v>
      </c>
      <c r="M1196" s="50" t="s">
        <v>8357</v>
      </c>
      <c r="N1196" s="50" t="s">
        <v>1641</v>
      </c>
      <c r="O1196" s="47" t="s">
        <v>8358</v>
      </c>
      <c r="P1196" s="47" t="s">
        <v>8359</v>
      </c>
      <c r="Q1196" s="47" t="s">
        <v>1695</v>
      </c>
      <c r="R1196" s="47" t="s">
        <v>1463</v>
      </c>
      <c r="S1196" s="43"/>
      <c r="T1196" s="49">
        <v>45512</v>
      </c>
    </row>
    <row r="1197" spans="1:20" ht="26.45">
      <c r="A1197" s="44" t="s">
        <v>462</v>
      </c>
      <c r="B1197" s="44" t="s">
        <v>8360</v>
      </c>
      <c r="C1197" s="45" t="s">
        <v>1263</v>
      </c>
      <c r="D1197" s="44" t="s">
        <v>1416</v>
      </c>
      <c r="E1197" s="44" t="s">
        <v>1481</v>
      </c>
      <c r="F1197" s="44"/>
      <c r="G1197" s="44" t="s">
        <v>1687</v>
      </c>
      <c r="H1197" s="44" t="s">
        <v>8361</v>
      </c>
      <c r="I1197" s="46" t="s">
        <v>8362</v>
      </c>
      <c r="J1197" s="46" t="s">
        <v>8363</v>
      </c>
      <c r="K1197" s="46" t="s">
        <v>8364</v>
      </c>
      <c r="L1197" s="46" t="s">
        <v>1504</v>
      </c>
      <c r="M1197" s="46" t="s">
        <v>8365</v>
      </c>
      <c r="N1197" s="46" t="s">
        <v>1476</v>
      </c>
      <c r="O1197" s="44" t="s">
        <v>8366</v>
      </c>
      <c r="P1197" s="44" t="s">
        <v>8367</v>
      </c>
      <c r="Q1197" s="44" t="s">
        <v>1695</v>
      </c>
      <c r="R1197" s="44" t="s">
        <v>1463</v>
      </c>
      <c r="S1197" s="43"/>
      <c r="T1197" s="51">
        <v>45292</v>
      </c>
    </row>
    <row r="1198" spans="1:20">
      <c r="A1198" s="47" t="s">
        <v>8368</v>
      </c>
      <c r="B1198" s="47" t="s">
        <v>8369</v>
      </c>
      <c r="C1198" s="48" t="s">
        <v>8370</v>
      </c>
      <c r="D1198" s="47" t="s">
        <v>1419</v>
      </c>
      <c r="E1198" s="47" t="s">
        <v>1481</v>
      </c>
      <c r="F1198" s="47"/>
      <c r="G1198" s="47" t="s">
        <v>1461</v>
      </c>
      <c r="H1198" s="47" t="s">
        <v>8371</v>
      </c>
      <c r="I1198" s="50" t="s">
        <v>8372</v>
      </c>
      <c r="J1198" s="50" t="s">
        <v>5285</v>
      </c>
      <c r="K1198" s="50" t="s">
        <v>1493</v>
      </c>
      <c r="L1198" s="50" t="s">
        <v>1504</v>
      </c>
      <c r="M1198" s="50" t="s">
        <v>2607</v>
      </c>
      <c r="N1198" s="50" t="s">
        <v>1641</v>
      </c>
      <c r="O1198" s="47" t="s">
        <v>8373</v>
      </c>
      <c r="P1198" s="47"/>
      <c r="Q1198" s="47" t="s">
        <v>1463</v>
      </c>
      <c r="R1198" s="47" t="s">
        <v>1463</v>
      </c>
      <c r="S1198" s="43"/>
      <c r="T1198" s="49">
        <v>45431</v>
      </c>
    </row>
    <row r="1199" spans="1:20">
      <c r="A1199" s="44" t="s">
        <v>8374</v>
      </c>
      <c r="B1199" s="44"/>
      <c r="C1199" s="45" t="s">
        <v>8375</v>
      </c>
      <c r="D1199" s="44" t="s">
        <v>1420</v>
      </c>
      <c r="E1199" s="44" t="s">
        <v>1460</v>
      </c>
      <c r="F1199" s="51">
        <v>41474.6457864236</v>
      </c>
      <c r="G1199" s="44" t="s">
        <v>1466</v>
      </c>
      <c r="H1199" s="44"/>
      <c r="I1199" s="46"/>
      <c r="J1199" s="46"/>
      <c r="K1199" s="46"/>
      <c r="L1199" s="46"/>
      <c r="M1199" s="46"/>
      <c r="N1199" s="46"/>
      <c r="O1199" s="44"/>
      <c r="P1199" s="44"/>
      <c r="Q1199" s="44" t="s">
        <v>1463</v>
      </c>
      <c r="R1199" s="44" t="s">
        <v>1463</v>
      </c>
      <c r="S1199" s="43"/>
      <c r="T1199" s="44"/>
    </row>
    <row r="1200" spans="1:20" ht="26.45">
      <c r="A1200" s="47" t="s">
        <v>463</v>
      </c>
      <c r="B1200" s="47" t="s">
        <v>8376</v>
      </c>
      <c r="C1200" s="48" t="s">
        <v>1264</v>
      </c>
      <c r="D1200" s="47" t="s">
        <v>1433</v>
      </c>
      <c r="E1200" s="47" t="s">
        <v>1481</v>
      </c>
      <c r="F1200" s="47"/>
      <c r="G1200" s="47" t="s">
        <v>1466</v>
      </c>
      <c r="H1200" s="47" t="s">
        <v>8377</v>
      </c>
      <c r="I1200" s="50" t="s">
        <v>8378</v>
      </c>
      <c r="J1200" s="50" t="s">
        <v>8379</v>
      </c>
      <c r="K1200" s="50" t="s">
        <v>8380</v>
      </c>
      <c r="L1200" s="50" t="s">
        <v>1504</v>
      </c>
      <c r="M1200" s="50" t="s">
        <v>8381</v>
      </c>
      <c r="N1200" s="50" t="s">
        <v>1641</v>
      </c>
      <c r="O1200" s="47" t="s">
        <v>8382</v>
      </c>
      <c r="P1200" s="47" t="s">
        <v>8383</v>
      </c>
      <c r="Q1200" s="47" t="s">
        <v>1463</v>
      </c>
      <c r="R1200" s="47" t="s">
        <v>1463</v>
      </c>
      <c r="S1200" s="43"/>
      <c r="T1200" s="49">
        <v>45372</v>
      </c>
    </row>
    <row r="1201" spans="1:20" ht="26.45">
      <c r="A1201" s="44" t="s">
        <v>1265</v>
      </c>
      <c r="B1201" s="44" t="s">
        <v>8384</v>
      </c>
      <c r="C1201" s="45" t="s">
        <v>1266</v>
      </c>
      <c r="D1201" s="44" t="s">
        <v>1419</v>
      </c>
      <c r="E1201" s="44" t="s">
        <v>1481</v>
      </c>
      <c r="F1201" s="44"/>
      <c r="G1201" s="44" t="s">
        <v>1466</v>
      </c>
      <c r="H1201" s="44" t="s">
        <v>8385</v>
      </c>
      <c r="I1201" s="46" t="s">
        <v>1266</v>
      </c>
      <c r="J1201" s="46" t="s">
        <v>2096</v>
      </c>
      <c r="K1201" s="46" t="s">
        <v>2097</v>
      </c>
      <c r="L1201" s="46" t="s">
        <v>1474</v>
      </c>
      <c r="M1201" s="46" t="s">
        <v>2098</v>
      </c>
      <c r="N1201" s="46" t="s">
        <v>1516</v>
      </c>
      <c r="O1201" s="44" t="s">
        <v>8386</v>
      </c>
      <c r="P1201" s="44" t="s">
        <v>8387</v>
      </c>
      <c r="Q1201" s="44" t="s">
        <v>1463</v>
      </c>
      <c r="R1201" s="44" t="s">
        <v>1463</v>
      </c>
      <c r="S1201" s="43"/>
      <c r="T1201" s="51">
        <v>45628</v>
      </c>
    </row>
    <row r="1202" spans="1:20" ht="26.45">
      <c r="A1202" s="47" t="s">
        <v>464</v>
      </c>
      <c r="B1202" s="47" t="s">
        <v>8388</v>
      </c>
      <c r="C1202" s="48" t="s">
        <v>1267</v>
      </c>
      <c r="D1202" s="47" t="s">
        <v>1430</v>
      </c>
      <c r="E1202" s="47" t="s">
        <v>1481</v>
      </c>
      <c r="F1202" s="47"/>
      <c r="G1202" s="47" t="s">
        <v>1687</v>
      </c>
      <c r="H1202" s="47" t="s">
        <v>8389</v>
      </c>
      <c r="I1202" s="50" t="s">
        <v>1267</v>
      </c>
      <c r="J1202" s="50" t="s">
        <v>8390</v>
      </c>
      <c r="K1202" s="50" t="s">
        <v>4602</v>
      </c>
      <c r="L1202" s="50" t="s">
        <v>1504</v>
      </c>
      <c r="M1202" s="50" t="s">
        <v>8391</v>
      </c>
      <c r="N1202" s="50" t="s">
        <v>1531</v>
      </c>
      <c r="O1202" s="47" t="s">
        <v>8392</v>
      </c>
      <c r="P1202" s="47" t="s">
        <v>8393</v>
      </c>
      <c r="Q1202" s="47" t="s">
        <v>1695</v>
      </c>
      <c r="R1202" s="47" t="s">
        <v>1463</v>
      </c>
      <c r="S1202" s="43"/>
      <c r="T1202" s="49">
        <v>45518</v>
      </c>
    </row>
    <row r="1203" spans="1:20" ht="26.45">
      <c r="A1203" s="44" t="s">
        <v>8394</v>
      </c>
      <c r="B1203" s="44" t="s">
        <v>8395</v>
      </c>
      <c r="C1203" s="45" t="s">
        <v>8396</v>
      </c>
      <c r="D1203" s="44" t="s">
        <v>1414</v>
      </c>
      <c r="E1203" s="44" t="s">
        <v>1481</v>
      </c>
      <c r="F1203" s="44"/>
      <c r="G1203" s="44" t="s">
        <v>1461</v>
      </c>
      <c r="H1203" s="44"/>
      <c r="I1203" s="46" t="s">
        <v>8396</v>
      </c>
      <c r="J1203" s="46" t="s">
        <v>8397</v>
      </c>
      <c r="K1203" s="46" t="s">
        <v>2764</v>
      </c>
      <c r="L1203" s="46" t="s">
        <v>1504</v>
      </c>
      <c r="M1203" s="46" t="s">
        <v>8398</v>
      </c>
      <c r="N1203" s="46"/>
      <c r="O1203" s="44" t="s">
        <v>8399</v>
      </c>
      <c r="P1203" s="44"/>
      <c r="Q1203" s="44" t="s">
        <v>1463</v>
      </c>
      <c r="R1203" s="44" t="s">
        <v>1463</v>
      </c>
      <c r="S1203" s="43"/>
      <c r="T1203" s="51">
        <v>43129</v>
      </c>
    </row>
    <row r="1204" spans="1:20">
      <c r="A1204" s="47" t="s">
        <v>8400</v>
      </c>
      <c r="B1204" s="47" t="s">
        <v>8401</v>
      </c>
      <c r="C1204" s="48" t="s">
        <v>8402</v>
      </c>
      <c r="D1204" s="47" t="s">
        <v>1414</v>
      </c>
      <c r="E1204" s="47" t="s">
        <v>1460</v>
      </c>
      <c r="F1204" s="49">
        <v>42510.893965972202</v>
      </c>
      <c r="G1204" s="47" t="s">
        <v>1466</v>
      </c>
      <c r="H1204" s="47" t="s">
        <v>8403</v>
      </c>
      <c r="I1204" s="50" t="s">
        <v>8402</v>
      </c>
      <c r="J1204" s="50" t="s">
        <v>8404</v>
      </c>
      <c r="K1204" s="50" t="s">
        <v>2764</v>
      </c>
      <c r="L1204" s="50" t="s">
        <v>1504</v>
      </c>
      <c r="M1204" s="50" t="s">
        <v>8405</v>
      </c>
      <c r="N1204" s="50" t="s">
        <v>1531</v>
      </c>
      <c r="O1204" s="47" t="s">
        <v>8406</v>
      </c>
      <c r="P1204" s="47"/>
      <c r="Q1204" s="47" t="s">
        <v>1463</v>
      </c>
      <c r="R1204" s="47" t="s">
        <v>1463</v>
      </c>
      <c r="S1204" s="43"/>
      <c r="T1204" s="49">
        <v>42835</v>
      </c>
    </row>
    <row r="1205" spans="1:20" ht="26.45">
      <c r="A1205" s="44" t="s">
        <v>465</v>
      </c>
      <c r="B1205" s="44" t="s">
        <v>8407</v>
      </c>
      <c r="C1205" s="45" t="s">
        <v>1268</v>
      </c>
      <c r="D1205" s="44" t="s">
        <v>1414</v>
      </c>
      <c r="E1205" s="44" t="s">
        <v>1481</v>
      </c>
      <c r="F1205" s="44"/>
      <c r="G1205" s="44" t="s">
        <v>1466</v>
      </c>
      <c r="H1205" s="44" t="s">
        <v>8408</v>
      </c>
      <c r="I1205" s="46" t="s">
        <v>8409</v>
      </c>
      <c r="J1205" s="46" t="s">
        <v>8410</v>
      </c>
      <c r="K1205" s="46" t="s">
        <v>1484</v>
      </c>
      <c r="L1205" s="46" t="s">
        <v>1474</v>
      </c>
      <c r="M1205" s="46" t="s">
        <v>8411</v>
      </c>
      <c r="N1205" s="46" t="s">
        <v>1525</v>
      </c>
      <c r="O1205" s="44" t="s">
        <v>8412</v>
      </c>
      <c r="P1205" s="44" t="s">
        <v>8413</v>
      </c>
      <c r="Q1205" s="44" t="s">
        <v>1463</v>
      </c>
      <c r="R1205" s="44" t="s">
        <v>1463</v>
      </c>
      <c r="S1205" s="43"/>
      <c r="T1205" s="51">
        <v>45482</v>
      </c>
    </row>
    <row r="1206" spans="1:20" ht="26.45">
      <c r="A1206" s="47" t="s">
        <v>466</v>
      </c>
      <c r="B1206" s="47" t="s">
        <v>8414</v>
      </c>
      <c r="C1206" s="48" t="s">
        <v>1269</v>
      </c>
      <c r="D1206" s="47" t="s">
        <v>1414</v>
      </c>
      <c r="E1206" s="47" t="s">
        <v>1481</v>
      </c>
      <c r="F1206" s="47"/>
      <c r="G1206" s="47" t="s">
        <v>1466</v>
      </c>
      <c r="H1206" s="47" t="s">
        <v>8415</v>
      </c>
      <c r="I1206" s="50" t="s">
        <v>8416</v>
      </c>
      <c r="J1206" s="50" t="s">
        <v>8417</v>
      </c>
      <c r="K1206" s="50" t="s">
        <v>1484</v>
      </c>
      <c r="L1206" s="50" t="s">
        <v>1474</v>
      </c>
      <c r="M1206" s="50" t="s">
        <v>8418</v>
      </c>
      <c r="N1206" s="50" t="s">
        <v>1495</v>
      </c>
      <c r="O1206" s="47" t="s">
        <v>8419</v>
      </c>
      <c r="P1206" s="47" t="s">
        <v>8420</v>
      </c>
      <c r="Q1206" s="47" t="s">
        <v>1463</v>
      </c>
      <c r="R1206" s="47" t="s">
        <v>1463</v>
      </c>
      <c r="S1206" s="43"/>
      <c r="T1206" s="49">
        <v>45663</v>
      </c>
    </row>
    <row r="1207" spans="1:20" ht="26.45">
      <c r="A1207" s="44" t="s">
        <v>8421</v>
      </c>
      <c r="B1207" s="44" t="s">
        <v>8422</v>
      </c>
      <c r="C1207" s="45" t="s">
        <v>8423</v>
      </c>
      <c r="D1207" s="44" t="s">
        <v>1414</v>
      </c>
      <c r="E1207" s="44" t="s">
        <v>1481</v>
      </c>
      <c r="F1207" s="44"/>
      <c r="G1207" s="44" t="s">
        <v>1490</v>
      </c>
      <c r="H1207" s="44" t="s">
        <v>8424</v>
      </c>
      <c r="I1207" s="46" t="s">
        <v>8423</v>
      </c>
      <c r="J1207" s="46" t="s">
        <v>8425</v>
      </c>
      <c r="K1207" s="46" t="s">
        <v>2764</v>
      </c>
      <c r="L1207" s="46" t="s">
        <v>1504</v>
      </c>
      <c r="M1207" s="46" t="s">
        <v>8426</v>
      </c>
      <c r="N1207" s="46" t="s">
        <v>1495</v>
      </c>
      <c r="O1207" s="44"/>
      <c r="P1207" s="44"/>
      <c r="Q1207" s="44" t="s">
        <v>1463</v>
      </c>
      <c r="R1207" s="44" t="s">
        <v>1463</v>
      </c>
      <c r="S1207" s="43"/>
      <c r="T1207" s="44"/>
    </row>
    <row r="1208" spans="1:20" ht="26.45">
      <c r="A1208" s="47" t="s">
        <v>1270</v>
      </c>
      <c r="B1208" s="47" t="s">
        <v>8427</v>
      </c>
      <c r="C1208" s="48" t="s">
        <v>1271</v>
      </c>
      <c r="D1208" s="47" t="s">
        <v>1414</v>
      </c>
      <c r="E1208" s="47" t="s">
        <v>1481</v>
      </c>
      <c r="F1208" s="47"/>
      <c r="G1208" s="47" t="s">
        <v>1466</v>
      </c>
      <c r="H1208" s="47" t="s">
        <v>8428</v>
      </c>
      <c r="I1208" s="50" t="s">
        <v>1271</v>
      </c>
      <c r="J1208" s="50" t="s">
        <v>8429</v>
      </c>
      <c r="K1208" s="50" t="s">
        <v>1484</v>
      </c>
      <c r="L1208" s="50" t="s">
        <v>1474</v>
      </c>
      <c r="M1208" s="50" t="s">
        <v>8430</v>
      </c>
      <c r="N1208" s="50" t="s">
        <v>1495</v>
      </c>
      <c r="O1208" s="47" t="s">
        <v>8431</v>
      </c>
      <c r="P1208" s="47" t="s">
        <v>8432</v>
      </c>
      <c r="Q1208" s="47" t="s">
        <v>1463</v>
      </c>
      <c r="R1208" s="47" t="s">
        <v>1463</v>
      </c>
      <c r="S1208" s="43"/>
      <c r="T1208" s="49">
        <v>45378</v>
      </c>
    </row>
    <row r="1209" spans="1:20" ht="26.45">
      <c r="A1209" s="44" t="s">
        <v>467</v>
      </c>
      <c r="B1209" s="44" t="s">
        <v>8433</v>
      </c>
      <c r="C1209" s="45" t="s">
        <v>1272</v>
      </c>
      <c r="D1209" s="44" t="s">
        <v>1414</v>
      </c>
      <c r="E1209" s="44" t="s">
        <v>1481</v>
      </c>
      <c r="F1209" s="44"/>
      <c r="G1209" s="44" t="s">
        <v>1687</v>
      </c>
      <c r="H1209" s="44" t="s">
        <v>8434</v>
      </c>
      <c r="I1209" s="46" t="s">
        <v>8435</v>
      </c>
      <c r="J1209" s="46" t="s">
        <v>8436</v>
      </c>
      <c r="K1209" s="46" t="s">
        <v>1484</v>
      </c>
      <c r="L1209" s="46" t="s">
        <v>1504</v>
      </c>
      <c r="M1209" s="46" t="s">
        <v>8437</v>
      </c>
      <c r="N1209" s="46" t="s">
        <v>1629</v>
      </c>
      <c r="O1209" s="44" t="s">
        <v>8438</v>
      </c>
      <c r="P1209" s="44" t="s">
        <v>8439</v>
      </c>
      <c r="Q1209" s="44" t="s">
        <v>1463</v>
      </c>
      <c r="R1209" s="44" t="s">
        <v>1463</v>
      </c>
      <c r="S1209" s="43"/>
      <c r="T1209" s="51">
        <v>45503</v>
      </c>
    </row>
    <row r="1210" spans="1:20">
      <c r="A1210" s="47" t="s">
        <v>8440</v>
      </c>
      <c r="B1210" s="47"/>
      <c r="C1210" s="48" t="s">
        <v>8441</v>
      </c>
      <c r="D1210" s="47" t="s">
        <v>1414</v>
      </c>
      <c r="E1210" s="47" t="s">
        <v>1460</v>
      </c>
      <c r="F1210" s="49">
        <v>41457.382443252303</v>
      </c>
      <c r="G1210" s="47" t="s">
        <v>1466</v>
      </c>
      <c r="H1210" s="47"/>
      <c r="I1210" s="50"/>
      <c r="J1210" s="50"/>
      <c r="K1210" s="50"/>
      <c r="L1210" s="50"/>
      <c r="M1210" s="50"/>
      <c r="N1210" s="50"/>
      <c r="O1210" s="47"/>
      <c r="P1210" s="47"/>
      <c r="Q1210" s="47" t="s">
        <v>1463</v>
      </c>
      <c r="R1210" s="47" t="s">
        <v>1463</v>
      </c>
      <c r="S1210" s="43"/>
      <c r="T1210" s="47"/>
    </row>
    <row r="1211" spans="1:20" ht="26.45">
      <c r="A1211" s="44" t="s">
        <v>1273</v>
      </c>
      <c r="B1211" s="44" t="s">
        <v>8442</v>
      </c>
      <c r="C1211" s="45" t="s">
        <v>1274</v>
      </c>
      <c r="D1211" s="44" t="s">
        <v>1414</v>
      </c>
      <c r="E1211" s="44" t="s">
        <v>1481</v>
      </c>
      <c r="F1211" s="44"/>
      <c r="G1211" s="44" t="s">
        <v>1466</v>
      </c>
      <c r="H1211" s="44" t="s">
        <v>8443</v>
      </c>
      <c r="I1211" s="46" t="s">
        <v>8444</v>
      </c>
      <c r="J1211" s="46" t="s">
        <v>8445</v>
      </c>
      <c r="K1211" s="46" t="s">
        <v>2764</v>
      </c>
      <c r="L1211" s="46" t="s">
        <v>1504</v>
      </c>
      <c r="M1211" s="46" t="s">
        <v>6300</v>
      </c>
      <c r="N1211" s="46" t="s">
        <v>1495</v>
      </c>
      <c r="O1211" s="44" t="s">
        <v>8446</v>
      </c>
      <c r="P1211" s="44" t="s">
        <v>8447</v>
      </c>
      <c r="Q1211" s="44" t="s">
        <v>1463</v>
      </c>
      <c r="R1211" s="44" t="s">
        <v>1463</v>
      </c>
      <c r="S1211" s="43"/>
      <c r="T1211" s="51">
        <v>45420</v>
      </c>
    </row>
    <row r="1212" spans="1:20" ht="26.45">
      <c r="A1212" s="47" t="s">
        <v>8448</v>
      </c>
      <c r="B1212" s="47" t="s">
        <v>8449</v>
      </c>
      <c r="C1212" s="48" t="s">
        <v>8450</v>
      </c>
      <c r="D1212" s="47" t="s">
        <v>1414</v>
      </c>
      <c r="E1212" s="47" t="s">
        <v>1481</v>
      </c>
      <c r="F1212" s="47"/>
      <c r="G1212" s="47" t="s">
        <v>1490</v>
      </c>
      <c r="H1212" s="47" t="s">
        <v>8451</v>
      </c>
      <c r="I1212" s="50" t="s">
        <v>8450</v>
      </c>
      <c r="J1212" s="50" t="s">
        <v>8452</v>
      </c>
      <c r="K1212" s="50" t="s">
        <v>3169</v>
      </c>
      <c r="L1212" s="50" t="s">
        <v>3170</v>
      </c>
      <c r="M1212" s="50" t="s">
        <v>3171</v>
      </c>
      <c r="N1212" s="50"/>
      <c r="O1212" s="47" t="s">
        <v>8453</v>
      </c>
      <c r="P1212" s="47"/>
      <c r="Q1212" s="47" t="s">
        <v>1463</v>
      </c>
      <c r="R1212" s="47" t="s">
        <v>1463</v>
      </c>
      <c r="S1212" s="43"/>
      <c r="T1212" s="49">
        <v>44616</v>
      </c>
    </row>
    <row r="1213" spans="1:20" ht="26.45">
      <c r="A1213" s="44" t="s">
        <v>468</v>
      </c>
      <c r="B1213" s="44" t="s">
        <v>8454</v>
      </c>
      <c r="C1213" s="45" t="s">
        <v>1275</v>
      </c>
      <c r="D1213" s="44" t="s">
        <v>1419</v>
      </c>
      <c r="E1213" s="44" t="s">
        <v>1481</v>
      </c>
      <c r="F1213" s="44"/>
      <c r="G1213" s="44" t="s">
        <v>1466</v>
      </c>
      <c r="H1213" s="44" t="s">
        <v>8455</v>
      </c>
      <c r="I1213" s="46" t="s">
        <v>8456</v>
      </c>
      <c r="J1213" s="46" t="s">
        <v>8457</v>
      </c>
      <c r="K1213" s="46" t="s">
        <v>1493</v>
      </c>
      <c r="L1213" s="46" t="s">
        <v>8458</v>
      </c>
      <c r="M1213" s="46" t="s">
        <v>8459</v>
      </c>
      <c r="N1213" s="46" t="s">
        <v>1495</v>
      </c>
      <c r="O1213" s="44" t="s">
        <v>8460</v>
      </c>
      <c r="P1213" s="44" t="s">
        <v>8461</v>
      </c>
      <c r="Q1213" s="44" t="s">
        <v>1463</v>
      </c>
      <c r="R1213" s="44" t="s">
        <v>1463</v>
      </c>
      <c r="S1213" s="43"/>
      <c r="T1213" s="51">
        <v>45314</v>
      </c>
    </row>
    <row r="1214" spans="1:20">
      <c r="A1214" s="47" t="s">
        <v>8462</v>
      </c>
      <c r="B1214" s="47"/>
      <c r="C1214" s="48" t="s">
        <v>8463</v>
      </c>
      <c r="D1214" s="47" t="s">
        <v>1419</v>
      </c>
      <c r="E1214" s="47" t="s">
        <v>1460</v>
      </c>
      <c r="F1214" s="49">
        <v>41457.382442708302</v>
      </c>
      <c r="G1214" s="47" t="s">
        <v>1466</v>
      </c>
      <c r="H1214" s="47"/>
      <c r="I1214" s="50"/>
      <c r="J1214" s="50"/>
      <c r="K1214" s="50"/>
      <c r="L1214" s="50"/>
      <c r="M1214" s="50"/>
      <c r="N1214" s="50"/>
      <c r="O1214" s="47"/>
      <c r="P1214" s="47"/>
      <c r="Q1214" s="47" t="s">
        <v>1463</v>
      </c>
      <c r="R1214" s="47" t="s">
        <v>1463</v>
      </c>
      <c r="S1214" s="43"/>
      <c r="T1214" s="47"/>
    </row>
    <row r="1215" spans="1:20">
      <c r="A1215" s="44" t="s">
        <v>8464</v>
      </c>
      <c r="B1215" s="44" t="s">
        <v>8465</v>
      </c>
      <c r="C1215" s="45" t="s">
        <v>8466</v>
      </c>
      <c r="D1215" s="44" t="s">
        <v>1419</v>
      </c>
      <c r="E1215" s="44" t="s">
        <v>1481</v>
      </c>
      <c r="F1215" s="44"/>
      <c r="G1215" s="44" t="s">
        <v>1618</v>
      </c>
      <c r="H1215" s="44" t="s">
        <v>8467</v>
      </c>
      <c r="I1215" s="46"/>
      <c r="J1215" s="46"/>
      <c r="K1215" s="46"/>
      <c r="L1215" s="46"/>
      <c r="M1215" s="46"/>
      <c r="N1215" s="46"/>
      <c r="O1215" s="44"/>
      <c r="P1215" s="44"/>
      <c r="Q1215" s="44" t="s">
        <v>1463</v>
      </c>
      <c r="R1215" s="44" t="s">
        <v>1463</v>
      </c>
      <c r="S1215" s="43"/>
      <c r="T1215" s="44"/>
    </row>
    <row r="1216" spans="1:20" ht="26.45">
      <c r="A1216" s="47" t="s">
        <v>469</v>
      </c>
      <c r="B1216" s="47" t="s">
        <v>8468</v>
      </c>
      <c r="C1216" s="48" t="s">
        <v>1276</v>
      </c>
      <c r="D1216" s="47" t="s">
        <v>1419</v>
      </c>
      <c r="E1216" s="47" t="s">
        <v>1481</v>
      </c>
      <c r="F1216" s="47"/>
      <c r="G1216" s="47" t="s">
        <v>1687</v>
      </c>
      <c r="H1216" s="47" t="s">
        <v>8469</v>
      </c>
      <c r="I1216" s="50" t="s">
        <v>8470</v>
      </c>
      <c r="J1216" s="50" t="s">
        <v>8471</v>
      </c>
      <c r="K1216" s="50" t="s">
        <v>6556</v>
      </c>
      <c r="L1216" s="50" t="s">
        <v>1504</v>
      </c>
      <c r="M1216" s="50" t="s">
        <v>8472</v>
      </c>
      <c r="N1216" s="50" t="s">
        <v>1629</v>
      </c>
      <c r="O1216" s="47" t="s">
        <v>8473</v>
      </c>
      <c r="P1216" s="47" t="s">
        <v>8474</v>
      </c>
      <c r="Q1216" s="47" t="s">
        <v>1695</v>
      </c>
      <c r="R1216" s="47" t="s">
        <v>1463</v>
      </c>
      <c r="S1216" s="43"/>
      <c r="T1216" s="49">
        <v>45666</v>
      </c>
    </row>
    <row r="1217" spans="1:20">
      <c r="A1217" s="44" t="s">
        <v>8475</v>
      </c>
      <c r="B1217" s="44" t="s">
        <v>8476</v>
      </c>
      <c r="C1217" s="45" t="s">
        <v>8477</v>
      </c>
      <c r="D1217" s="44" t="s">
        <v>1419</v>
      </c>
      <c r="E1217" s="44" t="s">
        <v>1460</v>
      </c>
      <c r="F1217" s="44"/>
      <c r="G1217" s="44" t="s">
        <v>1461</v>
      </c>
      <c r="H1217" s="44"/>
      <c r="I1217" s="46" t="s">
        <v>8477</v>
      </c>
      <c r="J1217" s="46"/>
      <c r="K1217" s="46"/>
      <c r="L1217" s="46"/>
      <c r="M1217" s="46"/>
      <c r="N1217" s="46"/>
      <c r="O1217" s="44"/>
      <c r="P1217" s="44"/>
      <c r="Q1217" s="44" t="s">
        <v>1463</v>
      </c>
      <c r="R1217" s="44" t="s">
        <v>1463</v>
      </c>
      <c r="S1217" s="43"/>
      <c r="T1217" s="44"/>
    </row>
    <row r="1218" spans="1:20">
      <c r="A1218" s="47" t="s">
        <v>8478</v>
      </c>
      <c r="B1218" s="47" t="s">
        <v>8479</v>
      </c>
      <c r="C1218" s="48" t="s">
        <v>8480</v>
      </c>
      <c r="D1218" s="47" t="s">
        <v>1419</v>
      </c>
      <c r="E1218" s="47" t="s">
        <v>1481</v>
      </c>
      <c r="F1218" s="47"/>
      <c r="G1218" s="47" t="s">
        <v>1466</v>
      </c>
      <c r="H1218" s="47" t="s">
        <v>8481</v>
      </c>
      <c r="I1218" s="50" t="s">
        <v>8480</v>
      </c>
      <c r="J1218" s="50"/>
      <c r="K1218" s="50"/>
      <c r="L1218" s="50"/>
      <c r="M1218" s="50"/>
      <c r="N1218" s="50"/>
      <c r="O1218" s="47"/>
      <c r="P1218" s="47"/>
      <c r="Q1218" s="47" t="s">
        <v>1463</v>
      </c>
      <c r="R1218" s="47" t="s">
        <v>1463</v>
      </c>
      <c r="S1218" s="43"/>
      <c r="T1218" s="47"/>
    </row>
    <row r="1219" spans="1:20">
      <c r="A1219" s="44" t="s">
        <v>8482</v>
      </c>
      <c r="B1219" s="44" t="s">
        <v>8483</v>
      </c>
      <c r="C1219" s="45" t="s">
        <v>8484</v>
      </c>
      <c r="D1219" s="44" t="s">
        <v>1414</v>
      </c>
      <c r="E1219" s="44" t="s">
        <v>1481</v>
      </c>
      <c r="F1219" s="44"/>
      <c r="G1219" s="44" t="s">
        <v>1466</v>
      </c>
      <c r="H1219" s="44"/>
      <c r="I1219" s="46"/>
      <c r="J1219" s="46"/>
      <c r="K1219" s="46"/>
      <c r="L1219" s="46"/>
      <c r="M1219" s="46"/>
      <c r="N1219" s="46"/>
      <c r="O1219" s="44"/>
      <c r="P1219" s="44"/>
      <c r="Q1219" s="44" t="s">
        <v>1463</v>
      </c>
      <c r="R1219" s="44" t="s">
        <v>1463</v>
      </c>
      <c r="S1219" s="43"/>
      <c r="T1219" s="44"/>
    </row>
    <row r="1220" spans="1:20">
      <c r="A1220" s="47" t="s">
        <v>8485</v>
      </c>
      <c r="B1220" s="47" t="s">
        <v>8486</v>
      </c>
      <c r="C1220" s="48" t="s">
        <v>8487</v>
      </c>
      <c r="D1220" s="47" t="s">
        <v>1414</v>
      </c>
      <c r="E1220" s="47" t="s">
        <v>1481</v>
      </c>
      <c r="F1220" s="47"/>
      <c r="G1220" s="47" t="s">
        <v>1466</v>
      </c>
      <c r="H1220" s="47" t="s">
        <v>8488</v>
      </c>
      <c r="I1220" s="50"/>
      <c r="J1220" s="50"/>
      <c r="K1220" s="50"/>
      <c r="L1220" s="50"/>
      <c r="M1220" s="50"/>
      <c r="N1220" s="50"/>
      <c r="O1220" s="47"/>
      <c r="P1220" s="47"/>
      <c r="Q1220" s="47" t="s">
        <v>1463</v>
      </c>
      <c r="R1220" s="47" t="s">
        <v>1463</v>
      </c>
      <c r="S1220" s="43"/>
      <c r="T1220" s="47"/>
    </row>
    <row r="1221" spans="1:20" ht="26.45">
      <c r="A1221" s="44" t="s">
        <v>470</v>
      </c>
      <c r="B1221" s="44" t="s">
        <v>8489</v>
      </c>
      <c r="C1221" s="45" t="s">
        <v>1277</v>
      </c>
      <c r="D1221" s="44" t="s">
        <v>1414</v>
      </c>
      <c r="E1221" s="44" t="s">
        <v>1481</v>
      </c>
      <c r="F1221" s="44"/>
      <c r="G1221" s="44" t="s">
        <v>1687</v>
      </c>
      <c r="H1221" s="44" t="s">
        <v>8490</v>
      </c>
      <c r="I1221" s="46" t="s">
        <v>8491</v>
      </c>
      <c r="J1221" s="46" t="s">
        <v>3228</v>
      </c>
      <c r="K1221" s="46" t="s">
        <v>8492</v>
      </c>
      <c r="L1221" s="46" t="s">
        <v>1474</v>
      </c>
      <c r="M1221" s="46" t="s">
        <v>3230</v>
      </c>
      <c r="N1221" s="46" t="s">
        <v>1531</v>
      </c>
      <c r="O1221" s="44" t="s">
        <v>8493</v>
      </c>
      <c r="P1221" s="44" t="s">
        <v>8494</v>
      </c>
      <c r="Q1221" s="44" t="s">
        <v>1695</v>
      </c>
      <c r="R1221" s="44" t="s">
        <v>1463</v>
      </c>
      <c r="S1221" s="43"/>
      <c r="T1221" s="51">
        <v>45595</v>
      </c>
    </row>
    <row r="1222" spans="1:20">
      <c r="A1222" s="47" t="s">
        <v>471</v>
      </c>
      <c r="B1222" s="47" t="s">
        <v>8495</v>
      </c>
      <c r="C1222" s="48" t="s">
        <v>1278</v>
      </c>
      <c r="D1222" s="47" t="s">
        <v>1416</v>
      </c>
      <c r="E1222" s="47" t="s">
        <v>1481</v>
      </c>
      <c r="F1222" s="47"/>
      <c r="G1222" s="47" t="s">
        <v>1687</v>
      </c>
      <c r="H1222" s="47" t="s">
        <v>8496</v>
      </c>
      <c r="I1222" s="50" t="s">
        <v>8497</v>
      </c>
      <c r="J1222" s="50" t="s">
        <v>8498</v>
      </c>
      <c r="K1222" s="50" t="s">
        <v>6744</v>
      </c>
      <c r="L1222" s="50" t="s">
        <v>1504</v>
      </c>
      <c r="M1222" s="50" t="s">
        <v>8499</v>
      </c>
      <c r="N1222" s="50" t="s">
        <v>1516</v>
      </c>
      <c r="O1222" s="47" t="s">
        <v>8500</v>
      </c>
      <c r="P1222" s="47"/>
      <c r="Q1222" s="47" t="s">
        <v>1695</v>
      </c>
      <c r="R1222" s="47" t="s">
        <v>1463</v>
      </c>
      <c r="S1222" s="43"/>
      <c r="T1222" s="49">
        <v>45315</v>
      </c>
    </row>
    <row r="1223" spans="1:20" ht="26.45">
      <c r="A1223" s="44" t="s">
        <v>8501</v>
      </c>
      <c r="B1223" s="44" t="s">
        <v>8502</v>
      </c>
      <c r="C1223" s="45" t="s">
        <v>8503</v>
      </c>
      <c r="D1223" s="44" t="s">
        <v>1420</v>
      </c>
      <c r="E1223" s="44" t="s">
        <v>1481</v>
      </c>
      <c r="F1223" s="44"/>
      <c r="G1223" s="44" t="s">
        <v>1687</v>
      </c>
      <c r="H1223" s="44" t="s">
        <v>8504</v>
      </c>
      <c r="I1223" s="46" t="s">
        <v>8505</v>
      </c>
      <c r="J1223" s="46" t="s">
        <v>8506</v>
      </c>
      <c r="K1223" s="46" t="s">
        <v>1639</v>
      </c>
      <c r="L1223" s="46" t="s">
        <v>1504</v>
      </c>
      <c r="M1223" s="46" t="s">
        <v>8507</v>
      </c>
      <c r="N1223" s="46" t="s">
        <v>1476</v>
      </c>
      <c r="O1223" s="44" t="s">
        <v>8508</v>
      </c>
      <c r="P1223" s="44" t="s">
        <v>8509</v>
      </c>
      <c r="Q1223" s="44" t="s">
        <v>1695</v>
      </c>
      <c r="R1223" s="44" t="s">
        <v>1463</v>
      </c>
      <c r="S1223" s="43"/>
      <c r="T1223" s="51">
        <v>45383</v>
      </c>
    </row>
    <row r="1224" spans="1:20" ht="26.45">
      <c r="A1224" s="47" t="s">
        <v>8510</v>
      </c>
      <c r="B1224" s="47" t="s">
        <v>8511</v>
      </c>
      <c r="C1224" s="48" t="s">
        <v>8512</v>
      </c>
      <c r="D1224" s="47" t="s">
        <v>1419</v>
      </c>
      <c r="E1224" s="47" t="s">
        <v>1481</v>
      </c>
      <c r="F1224" s="47"/>
      <c r="G1224" s="47" t="s">
        <v>1490</v>
      </c>
      <c r="H1224" s="47" t="s">
        <v>8513</v>
      </c>
      <c r="I1224" s="50" t="s">
        <v>8514</v>
      </c>
      <c r="J1224" s="50" t="s">
        <v>8515</v>
      </c>
      <c r="K1224" s="50" t="s">
        <v>8516</v>
      </c>
      <c r="L1224" s="50" t="s">
        <v>1504</v>
      </c>
      <c r="M1224" s="50" t="s">
        <v>8517</v>
      </c>
      <c r="N1224" s="50" t="s">
        <v>1476</v>
      </c>
      <c r="O1224" s="47" t="s">
        <v>8518</v>
      </c>
      <c r="P1224" s="47"/>
      <c r="Q1224" s="47" t="s">
        <v>1463</v>
      </c>
      <c r="R1224" s="47" t="s">
        <v>1463</v>
      </c>
      <c r="S1224" s="43"/>
      <c r="T1224" s="49">
        <v>44111</v>
      </c>
    </row>
    <row r="1225" spans="1:20" ht="26.45">
      <c r="A1225" s="44" t="s">
        <v>8519</v>
      </c>
      <c r="B1225" s="44" t="s">
        <v>8520</v>
      </c>
      <c r="C1225" s="45" t="s">
        <v>8521</v>
      </c>
      <c r="D1225" s="44" t="s">
        <v>1419</v>
      </c>
      <c r="E1225" s="44" t="s">
        <v>1481</v>
      </c>
      <c r="F1225" s="44"/>
      <c r="G1225" s="44" t="s">
        <v>3395</v>
      </c>
      <c r="H1225" s="44" t="s">
        <v>8522</v>
      </c>
      <c r="I1225" s="46" t="s">
        <v>8521</v>
      </c>
      <c r="J1225" s="46" t="s">
        <v>8523</v>
      </c>
      <c r="K1225" s="46" t="s">
        <v>1493</v>
      </c>
      <c r="L1225" s="46" t="s">
        <v>1504</v>
      </c>
      <c r="M1225" s="46" t="s">
        <v>8524</v>
      </c>
      <c r="N1225" s="46" t="s">
        <v>1516</v>
      </c>
      <c r="O1225" s="44" t="s">
        <v>8525</v>
      </c>
      <c r="P1225" s="44" t="s">
        <v>8526</v>
      </c>
      <c r="Q1225" s="44" t="s">
        <v>1463</v>
      </c>
      <c r="R1225" s="44" t="s">
        <v>1463</v>
      </c>
      <c r="S1225" s="43"/>
      <c r="T1225" s="51">
        <v>45320</v>
      </c>
    </row>
    <row r="1226" spans="1:20" ht="26.45">
      <c r="A1226" s="47" t="s">
        <v>472</v>
      </c>
      <c r="B1226" s="47" t="s">
        <v>8527</v>
      </c>
      <c r="C1226" s="48" t="s">
        <v>1279</v>
      </c>
      <c r="D1226" s="47" t="s">
        <v>1419</v>
      </c>
      <c r="E1226" s="47" t="s">
        <v>1481</v>
      </c>
      <c r="F1226" s="47"/>
      <c r="G1226" s="47" t="s">
        <v>1466</v>
      </c>
      <c r="H1226" s="47" t="s">
        <v>8528</v>
      </c>
      <c r="I1226" s="50" t="s">
        <v>8529</v>
      </c>
      <c r="J1226" s="50" t="s">
        <v>8530</v>
      </c>
      <c r="K1226" s="50" t="s">
        <v>1493</v>
      </c>
      <c r="L1226" s="50" t="s">
        <v>1474</v>
      </c>
      <c r="M1226" s="50" t="s">
        <v>8531</v>
      </c>
      <c r="N1226" s="50" t="s">
        <v>1629</v>
      </c>
      <c r="O1226" s="47" t="s">
        <v>8532</v>
      </c>
      <c r="P1226" s="47" t="s">
        <v>8533</v>
      </c>
      <c r="Q1226" s="47" t="s">
        <v>1463</v>
      </c>
      <c r="R1226" s="47" t="s">
        <v>1463</v>
      </c>
      <c r="S1226" s="43"/>
      <c r="T1226" s="49">
        <v>45607</v>
      </c>
    </row>
    <row r="1227" spans="1:20" ht="26.45">
      <c r="A1227" s="44" t="s">
        <v>8534</v>
      </c>
      <c r="B1227" s="44" t="s">
        <v>8535</v>
      </c>
      <c r="C1227" s="45" t="s">
        <v>8536</v>
      </c>
      <c r="D1227" s="44" t="s">
        <v>1419</v>
      </c>
      <c r="E1227" s="44" t="s">
        <v>1481</v>
      </c>
      <c r="F1227" s="44"/>
      <c r="G1227" s="44" t="s">
        <v>1490</v>
      </c>
      <c r="H1227" s="44" t="s">
        <v>8537</v>
      </c>
      <c r="I1227" s="46" t="s">
        <v>8538</v>
      </c>
      <c r="J1227" s="46" t="s">
        <v>8539</v>
      </c>
      <c r="K1227" s="46" t="s">
        <v>1493</v>
      </c>
      <c r="L1227" s="46" t="s">
        <v>1504</v>
      </c>
      <c r="M1227" s="46" t="s">
        <v>8540</v>
      </c>
      <c r="N1227" s="46" t="s">
        <v>1495</v>
      </c>
      <c r="O1227" s="44" t="s">
        <v>8541</v>
      </c>
      <c r="P1227" s="44" t="s">
        <v>8542</v>
      </c>
      <c r="Q1227" s="44" t="s">
        <v>1463</v>
      </c>
      <c r="R1227" s="44" t="s">
        <v>1463</v>
      </c>
      <c r="S1227" s="43"/>
      <c r="T1227" s="51">
        <v>45610</v>
      </c>
    </row>
    <row r="1228" spans="1:20" ht="26.45">
      <c r="A1228" s="47" t="s">
        <v>1280</v>
      </c>
      <c r="B1228" s="47" t="s">
        <v>8543</v>
      </c>
      <c r="C1228" s="48" t="s">
        <v>1281</v>
      </c>
      <c r="D1228" s="47" t="s">
        <v>1428</v>
      </c>
      <c r="E1228" s="47" t="s">
        <v>1481</v>
      </c>
      <c r="F1228" s="47"/>
      <c r="G1228" s="47" t="s">
        <v>1687</v>
      </c>
      <c r="H1228" s="47" t="s">
        <v>8544</v>
      </c>
      <c r="I1228" s="50" t="s">
        <v>8545</v>
      </c>
      <c r="J1228" s="50" t="s">
        <v>8546</v>
      </c>
      <c r="K1228" s="50" t="s">
        <v>4013</v>
      </c>
      <c r="L1228" s="50" t="s">
        <v>1504</v>
      </c>
      <c r="M1228" s="50" t="s">
        <v>4014</v>
      </c>
      <c r="N1228" s="50" t="s">
        <v>1531</v>
      </c>
      <c r="O1228" s="47" t="s">
        <v>8547</v>
      </c>
      <c r="P1228" s="47" t="s">
        <v>8548</v>
      </c>
      <c r="Q1228" s="47" t="s">
        <v>1695</v>
      </c>
      <c r="R1228" s="47" t="s">
        <v>1463</v>
      </c>
      <c r="S1228" s="43"/>
      <c r="T1228" s="49">
        <v>45719</v>
      </c>
    </row>
    <row r="1229" spans="1:20">
      <c r="A1229" s="44" t="s">
        <v>8549</v>
      </c>
      <c r="B1229" s="44"/>
      <c r="C1229" s="45" t="s">
        <v>8550</v>
      </c>
      <c r="D1229" s="44" t="s">
        <v>1419</v>
      </c>
      <c r="E1229" s="44" t="s">
        <v>1460</v>
      </c>
      <c r="F1229" s="51">
        <v>42452.691538506901</v>
      </c>
      <c r="G1229" s="44" t="s">
        <v>1466</v>
      </c>
      <c r="H1229" s="44"/>
      <c r="I1229" s="46"/>
      <c r="J1229" s="46"/>
      <c r="K1229" s="46"/>
      <c r="L1229" s="46"/>
      <c r="M1229" s="46"/>
      <c r="N1229" s="46"/>
      <c r="O1229" s="44"/>
      <c r="P1229" s="44"/>
      <c r="Q1229" s="44" t="s">
        <v>1463</v>
      </c>
      <c r="R1229" s="44" t="s">
        <v>1463</v>
      </c>
      <c r="S1229" s="43"/>
      <c r="T1229" s="44"/>
    </row>
    <row r="1230" spans="1:20" ht="26.45">
      <c r="A1230" s="47" t="s">
        <v>1282</v>
      </c>
      <c r="B1230" s="47" t="s">
        <v>8551</v>
      </c>
      <c r="C1230" s="48" t="s">
        <v>1283</v>
      </c>
      <c r="D1230" s="47" t="s">
        <v>1419</v>
      </c>
      <c r="E1230" s="47" t="s">
        <v>1481</v>
      </c>
      <c r="F1230" s="47"/>
      <c r="G1230" s="47" t="s">
        <v>1466</v>
      </c>
      <c r="H1230" s="47" t="s">
        <v>8552</v>
      </c>
      <c r="I1230" s="50" t="s">
        <v>1283</v>
      </c>
      <c r="J1230" s="50" t="s">
        <v>8553</v>
      </c>
      <c r="K1230" s="50" t="s">
        <v>1975</v>
      </c>
      <c r="L1230" s="50" t="s">
        <v>1474</v>
      </c>
      <c r="M1230" s="50" t="s">
        <v>1976</v>
      </c>
      <c r="N1230" s="50" t="s">
        <v>1476</v>
      </c>
      <c r="O1230" s="47" t="s">
        <v>8554</v>
      </c>
      <c r="P1230" s="47" t="s">
        <v>8555</v>
      </c>
      <c r="Q1230" s="47" t="s">
        <v>1463</v>
      </c>
      <c r="R1230" s="47" t="s">
        <v>1463</v>
      </c>
      <c r="S1230" s="43"/>
      <c r="T1230" s="49">
        <v>45554</v>
      </c>
    </row>
    <row r="1231" spans="1:20">
      <c r="A1231" s="44" t="s">
        <v>8556</v>
      </c>
      <c r="B1231" s="44" t="s">
        <v>8557</v>
      </c>
      <c r="C1231" s="45" t="s">
        <v>8558</v>
      </c>
      <c r="D1231" s="44" t="s">
        <v>1410</v>
      </c>
      <c r="E1231" s="44" t="s">
        <v>1460</v>
      </c>
      <c r="F1231" s="51">
        <v>41457.3824433681</v>
      </c>
      <c r="G1231" s="44" t="s">
        <v>1466</v>
      </c>
      <c r="H1231" s="44" t="s">
        <v>8559</v>
      </c>
      <c r="I1231" s="46" t="s">
        <v>8558</v>
      </c>
      <c r="J1231" s="46" t="s">
        <v>8560</v>
      </c>
      <c r="K1231" s="46" t="s">
        <v>8561</v>
      </c>
      <c r="L1231" s="46" t="s">
        <v>1504</v>
      </c>
      <c r="M1231" s="46" t="s">
        <v>8562</v>
      </c>
      <c r="N1231" s="46" t="s">
        <v>1495</v>
      </c>
      <c r="O1231" s="44" t="s">
        <v>8563</v>
      </c>
      <c r="P1231" s="44"/>
      <c r="Q1231" s="44" t="s">
        <v>1463</v>
      </c>
      <c r="R1231" s="44" t="s">
        <v>1463</v>
      </c>
      <c r="S1231" s="43"/>
      <c r="T1231" s="44"/>
    </row>
    <row r="1232" spans="1:20" ht="26.45">
      <c r="A1232" s="47" t="s">
        <v>473</v>
      </c>
      <c r="B1232" s="47" t="s">
        <v>8564</v>
      </c>
      <c r="C1232" s="48" t="s">
        <v>1284</v>
      </c>
      <c r="D1232" s="47" t="s">
        <v>1419</v>
      </c>
      <c r="E1232" s="47" t="s">
        <v>1481</v>
      </c>
      <c r="F1232" s="47"/>
      <c r="G1232" s="47" t="s">
        <v>1466</v>
      </c>
      <c r="H1232" s="47" t="s">
        <v>8565</v>
      </c>
      <c r="I1232" s="50" t="s">
        <v>1284</v>
      </c>
      <c r="J1232" s="50" t="s">
        <v>8566</v>
      </c>
      <c r="K1232" s="50" t="s">
        <v>1975</v>
      </c>
      <c r="L1232" s="50" t="s">
        <v>1474</v>
      </c>
      <c r="M1232" s="50" t="s">
        <v>2440</v>
      </c>
      <c r="N1232" s="50" t="s">
        <v>1516</v>
      </c>
      <c r="O1232" s="47" t="s">
        <v>8567</v>
      </c>
      <c r="P1232" s="47" t="s">
        <v>8568</v>
      </c>
      <c r="Q1232" s="47" t="s">
        <v>1463</v>
      </c>
      <c r="R1232" s="47" t="s">
        <v>1463</v>
      </c>
      <c r="S1232" s="43"/>
      <c r="T1232" s="49">
        <v>45380</v>
      </c>
    </row>
    <row r="1233" spans="1:20">
      <c r="A1233" s="44" t="s">
        <v>8569</v>
      </c>
      <c r="B1233" s="44"/>
      <c r="C1233" s="45" t="s">
        <v>8570</v>
      </c>
      <c r="D1233" s="44" t="s">
        <v>1419</v>
      </c>
      <c r="E1233" s="44" t="s">
        <v>1460</v>
      </c>
      <c r="F1233" s="51">
        <v>41457.382442013899</v>
      </c>
      <c r="G1233" s="44" t="s">
        <v>1663</v>
      </c>
      <c r="H1233" s="44" t="s">
        <v>8571</v>
      </c>
      <c r="I1233" s="46"/>
      <c r="J1233" s="46"/>
      <c r="K1233" s="46"/>
      <c r="L1233" s="46"/>
      <c r="M1233" s="46"/>
      <c r="N1233" s="46"/>
      <c r="O1233" s="44"/>
      <c r="P1233" s="44"/>
      <c r="Q1233" s="44" t="s">
        <v>1463</v>
      </c>
      <c r="R1233" s="44" t="s">
        <v>1463</v>
      </c>
      <c r="S1233" s="43"/>
      <c r="T1233" s="44"/>
    </row>
    <row r="1234" spans="1:20" ht="26.45">
      <c r="A1234" s="47" t="s">
        <v>1285</v>
      </c>
      <c r="B1234" s="47" t="s">
        <v>8572</v>
      </c>
      <c r="C1234" s="48" t="s">
        <v>1286</v>
      </c>
      <c r="D1234" s="47" t="s">
        <v>1419</v>
      </c>
      <c r="E1234" s="47" t="s">
        <v>1481</v>
      </c>
      <c r="F1234" s="47"/>
      <c r="G1234" s="47" t="s">
        <v>1466</v>
      </c>
      <c r="H1234" s="47" t="s">
        <v>8573</v>
      </c>
      <c r="I1234" s="50" t="s">
        <v>1286</v>
      </c>
      <c r="J1234" s="50" t="s">
        <v>8574</v>
      </c>
      <c r="K1234" s="50" t="s">
        <v>1493</v>
      </c>
      <c r="L1234" s="50" t="s">
        <v>1474</v>
      </c>
      <c r="M1234" s="50" t="s">
        <v>2103</v>
      </c>
      <c r="N1234" s="50" t="s">
        <v>1641</v>
      </c>
      <c r="O1234" s="47" t="s">
        <v>8575</v>
      </c>
      <c r="P1234" s="47" t="s">
        <v>8576</v>
      </c>
      <c r="Q1234" s="47" t="s">
        <v>1463</v>
      </c>
      <c r="R1234" s="47" t="s">
        <v>1463</v>
      </c>
      <c r="S1234" s="43"/>
      <c r="T1234" s="49">
        <v>45695</v>
      </c>
    </row>
    <row r="1235" spans="1:20" ht="26.45">
      <c r="A1235" s="44" t="s">
        <v>474</v>
      </c>
      <c r="B1235" s="44" t="s">
        <v>8577</v>
      </c>
      <c r="C1235" s="45" t="s">
        <v>1287</v>
      </c>
      <c r="D1235" s="44" t="s">
        <v>1424</v>
      </c>
      <c r="E1235" s="44" t="s">
        <v>1481</v>
      </c>
      <c r="F1235" s="44"/>
      <c r="G1235" s="44" t="s">
        <v>1687</v>
      </c>
      <c r="H1235" s="44" t="s">
        <v>8578</v>
      </c>
      <c r="I1235" s="46" t="s">
        <v>8579</v>
      </c>
      <c r="J1235" s="46" t="s">
        <v>8580</v>
      </c>
      <c r="K1235" s="46" t="s">
        <v>8581</v>
      </c>
      <c r="L1235" s="46" t="s">
        <v>1504</v>
      </c>
      <c r="M1235" s="46" t="s">
        <v>8582</v>
      </c>
      <c r="N1235" s="46" t="s">
        <v>1641</v>
      </c>
      <c r="O1235" s="44" t="s">
        <v>8583</v>
      </c>
      <c r="P1235" s="44" t="s">
        <v>8584</v>
      </c>
      <c r="Q1235" s="44" t="s">
        <v>1695</v>
      </c>
      <c r="R1235" s="44" t="s">
        <v>1463</v>
      </c>
      <c r="S1235" s="43"/>
      <c r="T1235" s="51">
        <v>45290</v>
      </c>
    </row>
    <row r="1236" spans="1:20">
      <c r="A1236" s="47" t="s">
        <v>8585</v>
      </c>
      <c r="B1236" s="47" t="s">
        <v>8586</v>
      </c>
      <c r="C1236" s="48" t="s">
        <v>8587</v>
      </c>
      <c r="D1236" s="47" t="s">
        <v>1419</v>
      </c>
      <c r="E1236" s="47" t="s">
        <v>1481</v>
      </c>
      <c r="F1236" s="47"/>
      <c r="G1236" s="47" t="s">
        <v>1466</v>
      </c>
      <c r="H1236" s="47" t="s">
        <v>8588</v>
      </c>
      <c r="I1236" s="50" t="s">
        <v>8587</v>
      </c>
      <c r="J1236" s="50"/>
      <c r="K1236" s="50"/>
      <c r="L1236" s="50"/>
      <c r="M1236" s="50"/>
      <c r="N1236" s="50"/>
      <c r="O1236" s="47" t="s">
        <v>8589</v>
      </c>
      <c r="P1236" s="47"/>
      <c r="Q1236" s="47" t="s">
        <v>1463</v>
      </c>
      <c r="R1236" s="47" t="s">
        <v>1463</v>
      </c>
      <c r="S1236" s="43"/>
      <c r="T1236" s="47"/>
    </row>
    <row r="1237" spans="1:20" ht="26.45">
      <c r="A1237" s="44" t="s">
        <v>475</v>
      </c>
      <c r="B1237" s="44" t="s">
        <v>8590</v>
      </c>
      <c r="C1237" s="45" t="s">
        <v>1288</v>
      </c>
      <c r="D1237" s="44" t="s">
        <v>1419</v>
      </c>
      <c r="E1237" s="44" t="s">
        <v>1481</v>
      </c>
      <c r="F1237" s="44"/>
      <c r="G1237" s="44" t="s">
        <v>1466</v>
      </c>
      <c r="H1237" s="44" t="s">
        <v>8591</v>
      </c>
      <c r="I1237" s="46" t="s">
        <v>8592</v>
      </c>
      <c r="J1237" s="46" t="s">
        <v>8593</v>
      </c>
      <c r="K1237" s="46" t="s">
        <v>1493</v>
      </c>
      <c r="L1237" s="46" t="s">
        <v>1474</v>
      </c>
      <c r="M1237" s="46" t="s">
        <v>8594</v>
      </c>
      <c r="N1237" s="46" t="s">
        <v>1629</v>
      </c>
      <c r="O1237" s="44" t="s">
        <v>8595</v>
      </c>
      <c r="P1237" s="44" t="s">
        <v>8596</v>
      </c>
      <c r="Q1237" s="44" t="s">
        <v>1463</v>
      </c>
      <c r="R1237" s="44" t="s">
        <v>1463</v>
      </c>
      <c r="S1237" s="43"/>
      <c r="T1237" s="51">
        <v>45645</v>
      </c>
    </row>
    <row r="1238" spans="1:20">
      <c r="A1238" s="47" t="s">
        <v>8597</v>
      </c>
      <c r="B1238" s="47" t="s">
        <v>8598</v>
      </c>
      <c r="C1238" s="48" t="s">
        <v>8599</v>
      </c>
      <c r="D1238" s="47" t="s">
        <v>1419</v>
      </c>
      <c r="E1238" s="47" t="s">
        <v>1460</v>
      </c>
      <c r="F1238" s="49">
        <v>44362.8797607292</v>
      </c>
      <c r="G1238" s="47" t="s">
        <v>1466</v>
      </c>
      <c r="H1238" s="47" t="s">
        <v>8600</v>
      </c>
      <c r="I1238" s="50" t="s">
        <v>8601</v>
      </c>
      <c r="J1238" s="50" t="s">
        <v>8602</v>
      </c>
      <c r="K1238" s="50" t="s">
        <v>1493</v>
      </c>
      <c r="L1238" s="50" t="s">
        <v>1474</v>
      </c>
      <c r="M1238" s="50" t="s">
        <v>8603</v>
      </c>
      <c r="N1238" s="50" t="s">
        <v>1495</v>
      </c>
      <c r="O1238" s="47" t="s">
        <v>8604</v>
      </c>
      <c r="P1238" s="47"/>
      <c r="Q1238" s="47" t="s">
        <v>1463</v>
      </c>
      <c r="R1238" s="47" t="s">
        <v>1463</v>
      </c>
      <c r="S1238" s="43"/>
      <c r="T1238" s="49">
        <v>44529</v>
      </c>
    </row>
    <row r="1239" spans="1:20" ht="26.45">
      <c r="A1239" s="44" t="s">
        <v>476</v>
      </c>
      <c r="B1239" s="44" t="s">
        <v>8605</v>
      </c>
      <c r="C1239" s="45" t="s">
        <v>1289</v>
      </c>
      <c r="D1239" s="44" t="s">
        <v>1419</v>
      </c>
      <c r="E1239" s="44" t="s">
        <v>1481</v>
      </c>
      <c r="F1239" s="44"/>
      <c r="G1239" s="44" t="s">
        <v>1466</v>
      </c>
      <c r="H1239" s="44" t="s">
        <v>8606</v>
      </c>
      <c r="I1239" s="46" t="s">
        <v>8607</v>
      </c>
      <c r="J1239" s="46" t="s">
        <v>8608</v>
      </c>
      <c r="K1239" s="46" t="s">
        <v>1493</v>
      </c>
      <c r="L1239" s="46" t="s">
        <v>1504</v>
      </c>
      <c r="M1239" s="46" t="s">
        <v>8609</v>
      </c>
      <c r="N1239" s="46" t="s">
        <v>1516</v>
      </c>
      <c r="O1239" s="44" t="s">
        <v>8610</v>
      </c>
      <c r="P1239" s="44" t="s">
        <v>8611</v>
      </c>
      <c r="Q1239" s="44" t="s">
        <v>1463</v>
      </c>
      <c r="R1239" s="44" t="s">
        <v>1463</v>
      </c>
      <c r="S1239" s="43"/>
      <c r="T1239" s="51">
        <v>45328</v>
      </c>
    </row>
    <row r="1240" spans="1:20">
      <c r="A1240" s="47" t="s">
        <v>8612</v>
      </c>
      <c r="B1240" s="47" t="s">
        <v>8613</v>
      </c>
      <c r="C1240" s="48" t="s">
        <v>8614</v>
      </c>
      <c r="D1240" s="47" t="s">
        <v>1414</v>
      </c>
      <c r="E1240" s="47" t="s">
        <v>1460</v>
      </c>
      <c r="F1240" s="49">
        <v>42445.737667442103</v>
      </c>
      <c r="G1240" s="47" t="s">
        <v>1466</v>
      </c>
      <c r="H1240" s="47" t="s">
        <v>8615</v>
      </c>
      <c r="I1240" s="50" t="s">
        <v>8614</v>
      </c>
      <c r="J1240" s="50"/>
      <c r="K1240" s="50"/>
      <c r="L1240" s="50"/>
      <c r="M1240" s="50"/>
      <c r="N1240" s="50"/>
      <c r="O1240" s="47" t="s">
        <v>8616</v>
      </c>
      <c r="P1240" s="47"/>
      <c r="Q1240" s="47" t="s">
        <v>1463</v>
      </c>
      <c r="R1240" s="47" t="s">
        <v>1463</v>
      </c>
      <c r="S1240" s="43"/>
      <c r="T1240" s="47"/>
    </row>
    <row r="1241" spans="1:20" ht="26.45">
      <c r="A1241" s="44" t="s">
        <v>8617</v>
      </c>
      <c r="B1241" s="44" t="s">
        <v>8618</v>
      </c>
      <c r="C1241" s="45" t="s">
        <v>8619</v>
      </c>
      <c r="D1241" s="44" t="s">
        <v>1428</v>
      </c>
      <c r="E1241" s="44" t="s">
        <v>1481</v>
      </c>
      <c r="F1241" s="44"/>
      <c r="G1241" s="44" t="s">
        <v>1585</v>
      </c>
      <c r="H1241" s="44"/>
      <c r="I1241" s="46"/>
      <c r="J1241" s="46"/>
      <c r="K1241" s="46"/>
      <c r="L1241" s="46"/>
      <c r="M1241" s="46"/>
      <c r="N1241" s="46"/>
      <c r="O1241" s="44"/>
      <c r="P1241" s="44"/>
      <c r="Q1241" s="44" t="s">
        <v>1463</v>
      </c>
      <c r="R1241" s="44" t="s">
        <v>1463</v>
      </c>
      <c r="S1241" s="43"/>
      <c r="T1241" s="44"/>
    </row>
    <row r="1242" spans="1:20" ht="26.45">
      <c r="A1242" s="47" t="s">
        <v>8620</v>
      </c>
      <c r="B1242" s="47" t="s">
        <v>8621</v>
      </c>
      <c r="C1242" s="48" t="s">
        <v>8622</v>
      </c>
      <c r="D1242" s="47" t="s">
        <v>1428</v>
      </c>
      <c r="E1242" s="47" t="s">
        <v>1481</v>
      </c>
      <c r="F1242" s="47"/>
      <c r="G1242" s="47" t="s">
        <v>1490</v>
      </c>
      <c r="H1242" s="47" t="s">
        <v>8623</v>
      </c>
      <c r="I1242" s="50" t="s">
        <v>8622</v>
      </c>
      <c r="J1242" s="50" t="s">
        <v>8624</v>
      </c>
      <c r="K1242" s="50" t="s">
        <v>2598</v>
      </c>
      <c r="L1242" s="50" t="s">
        <v>1474</v>
      </c>
      <c r="M1242" s="50" t="s">
        <v>8625</v>
      </c>
      <c r="N1242" s="50" t="s">
        <v>1531</v>
      </c>
      <c r="O1242" s="47" t="s">
        <v>8626</v>
      </c>
      <c r="P1242" s="47"/>
      <c r="Q1242" s="47" t="s">
        <v>1463</v>
      </c>
      <c r="R1242" s="47" t="s">
        <v>1463</v>
      </c>
      <c r="S1242" s="43"/>
      <c r="T1242" s="49">
        <v>43619</v>
      </c>
    </row>
    <row r="1243" spans="1:20">
      <c r="A1243" s="44" t="s">
        <v>8627</v>
      </c>
      <c r="B1243" s="44" t="s">
        <v>8628</v>
      </c>
      <c r="C1243" s="45" t="s">
        <v>8629</v>
      </c>
      <c r="D1243" s="44" t="s">
        <v>1428</v>
      </c>
      <c r="E1243" s="44" t="s">
        <v>1460</v>
      </c>
      <c r="F1243" s="51">
        <v>42648.924865277797</v>
      </c>
      <c r="G1243" s="44" t="s">
        <v>1466</v>
      </c>
      <c r="H1243" s="44" t="s">
        <v>8630</v>
      </c>
      <c r="I1243" s="46" t="s">
        <v>8629</v>
      </c>
      <c r="J1243" s="46" t="s">
        <v>8631</v>
      </c>
      <c r="K1243" s="46" t="s">
        <v>7058</v>
      </c>
      <c r="L1243" s="46" t="s">
        <v>1504</v>
      </c>
      <c r="M1243" s="46" t="s">
        <v>8625</v>
      </c>
      <c r="N1243" s="46" t="s">
        <v>1531</v>
      </c>
      <c r="O1243" s="44" t="s">
        <v>8632</v>
      </c>
      <c r="P1243" s="44"/>
      <c r="Q1243" s="44" t="s">
        <v>1463</v>
      </c>
      <c r="R1243" s="44" t="s">
        <v>1463</v>
      </c>
      <c r="S1243" s="43"/>
      <c r="T1243" s="51">
        <v>42704</v>
      </c>
    </row>
    <row r="1244" spans="1:20" ht="26.45">
      <c r="A1244" s="47" t="s">
        <v>1290</v>
      </c>
      <c r="B1244" s="47" t="s">
        <v>8633</v>
      </c>
      <c r="C1244" s="48" t="s">
        <v>1291</v>
      </c>
      <c r="D1244" s="47" t="s">
        <v>1419</v>
      </c>
      <c r="E1244" s="47" t="s">
        <v>1481</v>
      </c>
      <c r="F1244" s="47"/>
      <c r="G1244" s="47" t="s">
        <v>1466</v>
      </c>
      <c r="H1244" s="47" t="s">
        <v>8634</v>
      </c>
      <c r="I1244" s="50" t="s">
        <v>1291</v>
      </c>
      <c r="J1244" s="50" t="s">
        <v>2424</v>
      </c>
      <c r="K1244" s="50" t="s">
        <v>1493</v>
      </c>
      <c r="L1244" s="50" t="s">
        <v>1474</v>
      </c>
      <c r="M1244" s="50" t="s">
        <v>2425</v>
      </c>
      <c r="N1244" s="50" t="s">
        <v>1629</v>
      </c>
      <c r="O1244" s="47" t="s">
        <v>8635</v>
      </c>
      <c r="P1244" s="47" t="s">
        <v>8636</v>
      </c>
      <c r="Q1244" s="47" t="s">
        <v>1463</v>
      </c>
      <c r="R1244" s="47" t="s">
        <v>1463</v>
      </c>
      <c r="S1244" s="43"/>
      <c r="T1244" s="49">
        <v>45503</v>
      </c>
    </row>
    <row r="1245" spans="1:20" ht="26.45">
      <c r="A1245" s="44" t="s">
        <v>477</v>
      </c>
      <c r="B1245" s="44" t="s">
        <v>8637</v>
      </c>
      <c r="C1245" s="45" t="s">
        <v>1292</v>
      </c>
      <c r="D1245" s="44" t="s">
        <v>1419</v>
      </c>
      <c r="E1245" s="44" t="s">
        <v>1481</v>
      </c>
      <c r="F1245" s="44"/>
      <c r="G1245" s="44" t="s">
        <v>1466</v>
      </c>
      <c r="H1245" s="44" t="s">
        <v>8638</v>
      </c>
      <c r="I1245" s="46" t="s">
        <v>8639</v>
      </c>
      <c r="J1245" s="46" t="s">
        <v>8640</v>
      </c>
      <c r="K1245" s="46" t="s">
        <v>1493</v>
      </c>
      <c r="L1245" s="46" t="s">
        <v>1504</v>
      </c>
      <c r="M1245" s="46" t="s">
        <v>8641</v>
      </c>
      <c r="N1245" s="46" t="s">
        <v>1495</v>
      </c>
      <c r="O1245" s="44" t="s">
        <v>8642</v>
      </c>
      <c r="P1245" s="44" t="s">
        <v>8643</v>
      </c>
      <c r="Q1245" s="44" t="s">
        <v>1463</v>
      </c>
      <c r="R1245" s="44" t="s">
        <v>1463</v>
      </c>
      <c r="S1245" s="43"/>
      <c r="T1245" s="51">
        <v>45467</v>
      </c>
    </row>
    <row r="1246" spans="1:20">
      <c r="A1246" s="47" t="s">
        <v>8644</v>
      </c>
      <c r="B1246" s="47" t="s">
        <v>8645</v>
      </c>
      <c r="C1246" s="48" t="s">
        <v>8646</v>
      </c>
      <c r="D1246" s="47" t="s">
        <v>1414</v>
      </c>
      <c r="E1246" s="47" t="s">
        <v>1481</v>
      </c>
      <c r="F1246" s="47"/>
      <c r="G1246" s="47" t="s">
        <v>1461</v>
      </c>
      <c r="H1246" s="47"/>
      <c r="I1246" s="50"/>
      <c r="J1246" s="50"/>
      <c r="K1246" s="50"/>
      <c r="L1246" s="50"/>
      <c r="M1246" s="50"/>
      <c r="N1246" s="50"/>
      <c r="O1246" s="47"/>
      <c r="P1246" s="47"/>
      <c r="Q1246" s="47" t="s">
        <v>1463</v>
      </c>
      <c r="R1246" s="47" t="s">
        <v>1463</v>
      </c>
      <c r="S1246" s="43"/>
      <c r="T1246" s="47"/>
    </row>
    <row r="1247" spans="1:20" ht="26.45">
      <c r="A1247" s="44" t="s">
        <v>8647</v>
      </c>
      <c r="B1247" s="44" t="s">
        <v>8648</v>
      </c>
      <c r="C1247" s="45" t="s">
        <v>8649</v>
      </c>
      <c r="D1247" s="44" t="s">
        <v>1420</v>
      </c>
      <c r="E1247" s="44" t="s">
        <v>1481</v>
      </c>
      <c r="F1247" s="44"/>
      <c r="G1247" s="44" t="s">
        <v>1461</v>
      </c>
      <c r="H1247" s="44"/>
      <c r="I1247" s="46"/>
      <c r="J1247" s="46"/>
      <c r="K1247" s="46"/>
      <c r="L1247" s="46"/>
      <c r="M1247" s="46"/>
      <c r="N1247" s="46"/>
      <c r="O1247" s="44"/>
      <c r="P1247" s="44"/>
      <c r="Q1247" s="44" t="s">
        <v>1463</v>
      </c>
      <c r="R1247" s="44" t="s">
        <v>1463</v>
      </c>
      <c r="S1247" s="43"/>
      <c r="T1247" s="44"/>
    </row>
    <row r="1248" spans="1:20" ht="26.45">
      <c r="A1248" s="47" t="s">
        <v>8650</v>
      </c>
      <c r="B1248" s="47" t="s">
        <v>8651</v>
      </c>
      <c r="C1248" s="48" t="s">
        <v>8652</v>
      </c>
      <c r="D1248" s="47" t="s">
        <v>1420</v>
      </c>
      <c r="E1248" s="47" t="s">
        <v>1460</v>
      </c>
      <c r="F1248" s="49">
        <v>42492.809194756897</v>
      </c>
      <c r="G1248" s="47" t="s">
        <v>1687</v>
      </c>
      <c r="H1248" s="47"/>
      <c r="I1248" s="50" t="s">
        <v>8652</v>
      </c>
      <c r="J1248" s="50" t="s">
        <v>8653</v>
      </c>
      <c r="K1248" s="50" t="s">
        <v>8654</v>
      </c>
      <c r="L1248" s="50" t="s">
        <v>1504</v>
      </c>
      <c r="M1248" s="50" t="s">
        <v>8655</v>
      </c>
      <c r="N1248" s="50" t="s">
        <v>1476</v>
      </c>
      <c r="O1248" s="47" t="s">
        <v>2262</v>
      </c>
      <c r="P1248" s="47"/>
      <c r="Q1248" s="47" t="s">
        <v>1695</v>
      </c>
      <c r="R1248" s="47" t="s">
        <v>1463</v>
      </c>
      <c r="S1248" s="43"/>
      <c r="T1248" s="49">
        <v>42474</v>
      </c>
    </row>
    <row r="1249" spans="1:20" ht="26.45">
      <c r="A1249" s="44" t="s">
        <v>478</v>
      </c>
      <c r="B1249" s="44" t="s">
        <v>8656</v>
      </c>
      <c r="C1249" s="45" t="s">
        <v>1293</v>
      </c>
      <c r="D1249" s="44" t="s">
        <v>1419</v>
      </c>
      <c r="E1249" s="44" t="s">
        <v>1481</v>
      </c>
      <c r="F1249" s="44"/>
      <c r="G1249" s="44" t="s">
        <v>1687</v>
      </c>
      <c r="H1249" s="44" t="s">
        <v>8657</v>
      </c>
      <c r="I1249" s="46" t="s">
        <v>8658</v>
      </c>
      <c r="J1249" s="46" t="s">
        <v>8659</v>
      </c>
      <c r="K1249" s="46" t="s">
        <v>1549</v>
      </c>
      <c r="L1249" s="46" t="s">
        <v>1474</v>
      </c>
      <c r="M1249" s="46" t="s">
        <v>8660</v>
      </c>
      <c r="N1249" s="46" t="s">
        <v>1729</v>
      </c>
      <c r="O1249" s="44" t="s">
        <v>8661</v>
      </c>
      <c r="P1249" s="44" t="s">
        <v>8662</v>
      </c>
      <c r="Q1249" s="44" t="s">
        <v>1463</v>
      </c>
      <c r="R1249" s="44" t="s">
        <v>1463</v>
      </c>
      <c r="S1249" s="43"/>
      <c r="T1249" s="51">
        <v>45664</v>
      </c>
    </row>
    <row r="1250" spans="1:20" ht="26.45">
      <c r="A1250" s="47" t="s">
        <v>479</v>
      </c>
      <c r="B1250" s="47" t="s">
        <v>8663</v>
      </c>
      <c r="C1250" s="48" t="s">
        <v>1294</v>
      </c>
      <c r="D1250" s="47" t="s">
        <v>1425</v>
      </c>
      <c r="E1250" s="47" t="s">
        <v>1481</v>
      </c>
      <c r="F1250" s="47"/>
      <c r="G1250" s="47" t="s">
        <v>1687</v>
      </c>
      <c r="H1250" s="47" t="s">
        <v>8664</v>
      </c>
      <c r="I1250" s="50" t="s">
        <v>8665</v>
      </c>
      <c r="J1250" s="50" t="s">
        <v>8666</v>
      </c>
      <c r="K1250" s="50" t="s">
        <v>1991</v>
      </c>
      <c r="L1250" s="50" t="s">
        <v>1474</v>
      </c>
      <c r="M1250" s="50" t="s">
        <v>8667</v>
      </c>
      <c r="N1250" s="50" t="s">
        <v>1476</v>
      </c>
      <c r="O1250" s="47" t="s">
        <v>8668</v>
      </c>
      <c r="P1250" s="47" t="s">
        <v>8669</v>
      </c>
      <c r="Q1250" s="47" t="s">
        <v>1695</v>
      </c>
      <c r="R1250" s="47" t="s">
        <v>1463</v>
      </c>
      <c r="S1250" s="43"/>
      <c r="T1250" s="49">
        <v>45552</v>
      </c>
    </row>
    <row r="1251" spans="1:20" ht="26.45">
      <c r="A1251" s="44" t="s">
        <v>480</v>
      </c>
      <c r="B1251" s="44" t="s">
        <v>8670</v>
      </c>
      <c r="C1251" s="45" t="s">
        <v>1295</v>
      </c>
      <c r="D1251" s="44" t="s">
        <v>1431</v>
      </c>
      <c r="E1251" s="44" t="s">
        <v>1481</v>
      </c>
      <c r="F1251" s="44"/>
      <c r="G1251" s="44" t="s">
        <v>1687</v>
      </c>
      <c r="H1251" s="44" t="s">
        <v>8671</v>
      </c>
      <c r="I1251" s="46" t="s">
        <v>8672</v>
      </c>
      <c r="J1251" s="46" t="s">
        <v>8673</v>
      </c>
      <c r="K1251" s="46" t="s">
        <v>8674</v>
      </c>
      <c r="L1251" s="46" t="s">
        <v>8675</v>
      </c>
      <c r="M1251" s="46" t="s">
        <v>8676</v>
      </c>
      <c r="N1251" s="46" t="s">
        <v>1516</v>
      </c>
      <c r="O1251" s="44" t="s">
        <v>8677</v>
      </c>
      <c r="P1251" s="44" t="s">
        <v>8678</v>
      </c>
      <c r="Q1251" s="44" t="s">
        <v>1695</v>
      </c>
      <c r="R1251" s="44" t="s">
        <v>1463</v>
      </c>
      <c r="S1251" s="43"/>
      <c r="T1251" s="51">
        <v>45436</v>
      </c>
    </row>
    <row r="1252" spans="1:20" ht="26.45">
      <c r="A1252" s="47" t="s">
        <v>481</v>
      </c>
      <c r="B1252" s="47" t="s">
        <v>8679</v>
      </c>
      <c r="C1252" s="48" t="s">
        <v>1296</v>
      </c>
      <c r="D1252" s="47" t="s">
        <v>1419</v>
      </c>
      <c r="E1252" s="47" t="s">
        <v>1481</v>
      </c>
      <c r="F1252" s="47"/>
      <c r="G1252" s="47" t="s">
        <v>1466</v>
      </c>
      <c r="H1252" s="47" t="s">
        <v>8680</v>
      </c>
      <c r="I1252" s="50" t="s">
        <v>8681</v>
      </c>
      <c r="J1252" s="50" t="s">
        <v>8682</v>
      </c>
      <c r="K1252" s="50" t="s">
        <v>2778</v>
      </c>
      <c r="L1252" s="50" t="s">
        <v>1474</v>
      </c>
      <c r="M1252" s="50" t="s">
        <v>8683</v>
      </c>
      <c r="N1252" s="50" t="s">
        <v>1516</v>
      </c>
      <c r="O1252" s="47" t="s">
        <v>8684</v>
      </c>
      <c r="P1252" s="47" t="s">
        <v>8685</v>
      </c>
      <c r="Q1252" s="47" t="s">
        <v>1463</v>
      </c>
      <c r="R1252" s="47" t="s">
        <v>1463</v>
      </c>
      <c r="S1252" s="43"/>
      <c r="T1252" s="49">
        <v>45672</v>
      </c>
    </row>
    <row r="1253" spans="1:20" ht="26.45">
      <c r="A1253" s="44" t="s">
        <v>482</v>
      </c>
      <c r="B1253" s="44" t="s">
        <v>8686</v>
      </c>
      <c r="C1253" s="45" t="s">
        <v>1297</v>
      </c>
      <c r="D1253" s="44" t="s">
        <v>1419</v>
      </c>
      <c r="E1253" s="44" t="s">
        <v>1481</v>
      </c>
      <c r="F1253" s="44"/>
      <c r="G1253" s="44" t="s">
        <v>1466</v>
      </c>
      <c r="H1253" s="44" t="s">
        <v>8687</v>
      </c>
      <c r="I1253" s="46" t="s">
        <v>8688</v>
      </c>
      <c r="J1253" s="46" t="s">
        <v>8689</v>
      </c>
      <c r="K1253" s="46" t="s">
        <v>1523</v>
      </c>
      <c r="L1253" s="46" t="s">
        <v>1504</v>
      </c>
      <c r="M1253" s="46" t="s">
        <v>3554</v>
      </c>
      <c r="N1253" s="46" t="s">
        <v>1495</v>
      </c>
      <c r="O1253" s="44" t="s">
        <v>8690</v>
      </c>
      <c r="P1253" s="44" t="s">
        <v>8691</v>
      </c>
      <c r="Q1253" s="44" t="s">
        <v>1463</v>
      </c>
      <c r="R1253" s="44" t="s">
        <v>1463</v>
      </c>
      <c r="S1253" s="43"/>
      <c r="T1253" s="51">
        <v>45343</v>
      </c>
    </row>
    <row r="1254" spans="1:20">
      <c r="A1254" s="47" t="s">
        <v>8692</v>
      </c>
      <c r="B1254" s="47"/>
      <c r="C1254" s="48" t="s">
        <v>8693</v>
      </c>
      <c r="D1254" s="47" t="s">
        <v>1420</v>
      </c>
      <c r="E1254" s="47" t="s">
        <v>1460</v>
      </c>
      <c r="F1254" s="49">
        <v>41474.6457842245</v>
      </c>
      <c r="G1254" s="47" t="s">
        <v>1466</v>
      </c>
      <c r="H1254" s="47"/>
      <c r="I1254" s="50"/>
      <c r="J1254" s="50"/>
      <c r="K1254" s="50"/>
      <c r="L1254" s="50"/>
      <c r="M1254" s="50"/>
      <c r="N1254" s="50"/>
      <c r="O1254" s="47"/>
      <c r="P1254" s="47"/>
      <c r="Q1254" s="47" t="s">
        <v>1463</v>
      </c>
      <c r="R1254" s="47" t="s">
        <v>1463</v>
      </c>
      <c r="S1254" s="43"/>
      <c r="T1254" s="47"/>
    </row>
    <row r="1255" spans="1:20" ht="26.45">
      <c r="A1255" s="44" t="s">
        <v>483</v>
      </c>
      <c r="B1255" s="44" t="s">
        <v>8694</v>
      </c>
      <c r="C1255" s="45" t="s">
        <v>1298</v>
      </c>
      <c r="D1255" s="44" t="s">
        <v>1419</v>
      </c>
      <c r="E1255" s="44" t="s">
        <v>1481</v>
      </c>
      <c r="F1255" s="44"/>
      <c r="G1255" s="44" t="s">
        <v>1466</v>
      </c>
      <c r="H1255" s="44" t="s">
        <v>8695</v>
      </c>
      <c r="I1255" s="46" t="s">
        <v>8696</v>
      </c>
      <c r="J1255" s="46" t="s">
        <v>8697</v>
      </c>
      <c r="K1255" s="46" t="s">
        <v>3523</v>
      </c>
      <c r="L1255" s="46" t="s">
        <v>1474</v>
      </c>
      <c r="M1255" s="46" t="s">
        <v>8698</v>
      </c>
      <c r="N1255" s="46" t="s">
        <v>1629</v>
      </c>
      <c r="O1255" s="44" t="s">
        <v>8699</v>
      </c>
      <c r="P1255" s="44" t="s">
        <v>8700</v>
      </c>
      <c r="Q1255" s="44" t="s">
        <v>1463</v>
      </c>
      <c r="R1255" s="44" t="s">
        <v>1463</v>
      </c>
      <c r="S1255" s="43"/>
      <c r="T1255" s="51">
        <v>45686</v>
      </c>
    </row>
    <row r="1256" spans="1:20" ht="26.45">
      <c r="A1256" s="47" t="s">
        <v>8701</v>
      </c>
      <c r="B1256" s="47" t="s">
        <v>8702</v>
      </c>
      <c r="C1256" s="48" t="s">
        <v>8703</v>
      </c>
      <c r="D1256" s="47" t="s">
        <v>1419</v>
      </c>
      <c r="E1256" s="47" t="s">
        <v>1481</v>
      </c>
      <c r="F1256" s="47"/>
      <c r="G1256" s="47" t="s">
        <v>1687</v>
      </c>
      <c r="H1256" s="47" t="s">
        <v>8704</v>
      </c>
      <c r="I1256" s="50" t="s">
        <v>8705</v>
      </c>
      <c r="J1256" s="50" t="s">
        <v>8706</v>
      </c>
      <c r="K1256" s="50" t="s">
        <v>1549</v>
      </c>
      <c r="L1256" s="50" t="s">
        <v>1504</v>
      </c>
      <c r="M1256" s="50" t="s">
        <v>8707</v>
      </c>
      <c r="N1256" s="50" t="s">
        <v>1729</v>
      </c>
      <c r="O1256" s="47" t="s">
        <v>8708</v>
      </c>
      <c r="P1256" s="47" t="s">
        <v>8709</v>
      </c>
      <c r="Q1256" s="47" t="s">
        <v>1695</v>
      </c>
      <c r="R1256" s="47" t="s">
        <v>1463</v>
      </c>
      <c r="S1256" s="43"/>
      <c r="T1256" s="49">
        <v>45330</v>
      </c>
    </row>
    <row r="1257" spans="1:20">
      <c r="A1257" s="44" t="s">
        <v>8710</v>
      </c>
      <c r="B1257" s="44"/>
      <c r="C1257" s="45" t="s">
        <v>8711</v>
      </c>
      <c r="D1257" s="44" t="s">
        <v>1419</v>
      </c>
      <c r="E1257" s="44" t="s">
        <v>1460</v>
      </c>
      <c r="F1257" s="51">
        <v>41474.645784027802</v>
      </c>
      <c r="G1257" s="44" t="s">
        <v>1461</v>
      </c>
      <c r="H1257" s="44"/>
      <c r="I1257" s="46"/>
      <c r="J1257" s="46"/>
      <c r="K1257" s="46"/>
      <c r="L1257" s="46"/>
      <c r="M1257" s="46"/>
      <c r="N1257" s="46"/>
      <c r="O1257" s="44"/>
      <c r="P1257" s="44"/>
      <c r="Q1257" s="44" t="s">
        <v>1463</v>
      </c>
      <c r="R1257" s="44" t="s">
        <v>1463</v>
      </c>
      <c r="S1257" s="43"/>
      <c r="T1257" s="44"/>
    </row>
    <row r="1258" spans="1:20">
      <c r="A1258" s="47" t="s">
        <v>8712</v>
      </c>
      <c r="B1258" s="47" t="s">
        <v>8713</v>
      </c>
      <c r="C1258" s="48" t="s">
        <v>8714</v>
      </c>
      <c r="D1258" s="47" t="s">
        <v>1416</v>
      </c>
      <c r="E1258" s="47" t="s">
        <v>1481</v>
      </c>
      <c r="F1258" s="47"/>
      <c r="G1258" s="47" t="s">
        <v>1461</v>
      </c>
      <c r="H1258" s="47"/>
      <c r="I1258" s="50" t="s">
        <v>8714</v>
      </c>
      <c r="J1258" s="50" t="s">
        <v>8715</v>
      </c>
      <c r="K1258" s="50" t="s">
        <v>2736</v>
      </c>
      <c r="L1258" s="50" t="s">
        <v>1504</v>
      </c>
      <c r="M1258" s="50" t="s">
        <v>8716</v>
      </c>
      <c r="N1258" s="50" t="s">
        <v>1476</v>
      </c>
      <c r="O1258" s="47" t="s">
        <v>8717</v>
      </c>
      <c r="P1258" s="47"/>
      <c r="Q1258" s="47" t="s">
        <v>1463</v>
      </c>
      <c r="R1258" s="47" t="s">
        <v>1463</v>
      </c>
      <c r="S1258" s="43"/>
      <c r="T1258" s="49">
        <v>43174</v>
      </c>
    </row>
    <row r="1259" spans="1:20" ht="26.45">
      <c r="A1259" s="44" t="s">
        <v>8718</v>
      </c>
      <c r="B1259" s="44" t="s">
        <v>5704</v>
      </c>
      <c r="C1259" s="45" t="s">
        <v>8719</v>
      </c>
      <c r="D1259" s="44" t="s">
        <v>1425</v>
      </c>
      <c r="E1259" s="44" t="s">
        <v>1481</v>
      </c>
      <c r="F1259" s="44"/>
      <c r="G1259" s="44" t="s">
        <v>1461</v>
      </c>
      <c r="H1259" s="44" t="s">
        <v>8720</v>
      </c>
      <c r="I1259" s="46" t="s">
        <v>8719</v>
      </c>
      <c r="J1259" s="46" t="s">
        <v>8721</v>
      </c>
      <c r="K1259" s="46" t="s">
        <v>1425</v>
      </c>
      <c r="L1259" s="46" t="s">
        <v>1474</v>
      </c>
      <c r="M1259" s="46" t="s">
        <v>8722</v>
      </c>
      <c r="N1259" s="46" t="s">
        <v>1629</v>
      </c>
      <c r="O1259" s="44" t="s">
        <v>1397</v>
      </c>
      <c r="P1259" s="44" t="s">
        <v>8723</v>
      </c>
      <c r="Q1259" s="44" t="s">
        <v>1463</v>
      </c>
      <c r="R1259" s="44" t="s">
        <v>1463</v>
      </c>
      <c r="S1259" s="43"/>
      <c r="T1259" s="51">
        <v>45356</v>
      </c>
    </row>
    <row r="1260" spans="1:20" ht="26.45">
      <c r="A1260" s="47" t="s">
        <v>8724</v>
      </c>
      <c r="B1260" s="47" t="s">
        <v>8725</v>
      </c>
      <c r="C1260" s="48" t="s">
        <v>8726</v>
      </c>
      <c r="D1260" s="47" t="s">
        <v>1416</v>
      </c>
      <c r="E1260" s="47" t="s">
        <v>1481</v>
      </c>
      <c r="F1260" s="47"/>
      <c r="G1260" s="47" t="s">
        <v>1687</v>
      </c>
      <c r="H1260" s="47" t="s">
        <v>8727</v>
      </c>
      <c r="I1260" s="50" t="s">
        <v>8728</v>
      </c>
      <c r="J1260" s="50" t="s">
        <v>8729</v>
      </c>
      <c r="K1260" s="50" t="s">
        <v>3421</v>
      </c>
      <c r="L1260" s="50" t="s">
        <v>1504</v>
      </c>
      <c r="M1260" s="50" t="s">
        <v>6061</v>
      </c>
      <c r="N1260" s="50" t="s">
        <v>1476</v>
      </c>
      <c r="O1260" s="47" t="s">
        <v>8730</v>
      </c>
      <c r="P1260" s="47" t="s">
        <v>8731</v>
      </c>
      <c r="Q1260" s="47" t="s">
        <v>1695</v>
      </c>
      <c r="R1260" s="47" t="s">
        <v>1463</v>
      </c>
      <c r="S1260" s="43"/>
      <c r="T1260" s="49">
        <v>45643</v>
      </c>
    </row>
    <row r="1261" spans="1:20" ht="26.45">
      <c r="A1261" s="44" t="s">
        <v>1299</v>
      </c>
      <c r="B1261" s="44" t="s">
        <v>8732</v>
      </c>
      <c r="C1261" s="45" t="s">
        <v>1300</v>
      </c>
      <c r="D1261" s="44" t="s">
        <v>1419</v>
      </c>
      <c r="E1261" s="44" t="s">
        <v>1481</v>
      </c>
      <c r="F1261" s="44"/>
      <c r="G1261" s="44" t="s">
        <v>1466</v>
      </c>
      <c r="H1261" s="44" t="s">
        <v>8733</v>
      </c>
      <c r="I1261" s="46" t="s">
        <v>1300</v>
      </c>
      <c r="J1261" s="46" t="s">
        <v>8734</v>
      </c>
      <c r="K1261" s="46" t="s">
        <v>1523</v>
      </c>
      <c r="L1261" s="46" t="s">
        <v>1504</v>
      </c>
      <c r="M1261" s="46" t="s">
        <v>8735</v>
      </c>
      <c r="N1261" s="46" t="s">
        <v>1495</v>
      </c>
      <c r="O1261" s="44" t="s">
        <v>8736</v>
      </c>
      <c r="P1261" s="44" t="s">
        <v>8737</v>
      </c>
      <c r="Q1261" s="44" t="s">
        <v>1463</v>
      </c>
      <c r="R1261" s="44" t="s">
        <v>1463</v>
      </c>
      <c r="S1261" s="43"/>
      <c r="T1261" s="51">
        <v>45350</v>
      </c>
    </row>
    <row r="1262" spans="1:20">
      <c r="A1262" s="47" t="s">
        <v>8738</v>
      </c>
      <c r="B1262" s="47" t="s">
        <v>8739</v>
      </c>
      <c r="C1262" s="48" t="s">
        <v>8740</v>
      </c>
      <c r="D1262" s="47" t="s">
        <v>1419</v>
      </c>
      <c r="E1262" s="47" t="s">
        <v>1460</v>
      </c>
      <c r="F1262" s="49">
        <v>41457.382442673603</v>
      </c>
      <c r="G1262" s="47" t="s">
        <v>1466</v>
      </c>
      <c r="H1262" s="47" t="s">
        <v>8741</v>
      </c>
      <c r="I1262" s="50" t="s">
        <v>8740</v>
      </c>
      <c r="J1262" s="50" t="s">
        <v>8742</v>
      </c>
      <c r="K1262" s="50" t="s">
        <v>1523</v>
      </c>
      <c r="L1262" s="50" t="s">
        <v>1504</v>
      </c>
      <c r="M1262" s="50" t="s">
        <v>8743</v>
      </c>
      <c r="N1262" s="50" t="s">
        <v>1629</v>
      </c>
      <c r="O1262" s="47" t="s">
        <v>8744</v>
      </c>
      <c r="P1262" s="47"/>
      <c r="Q1262" s="47" t="s">
        <v>1463</v>
      </c>
      <c r="R1262" s="47" t="s">
        <v>1463</v>
      </c>
      <c r="S1262" s="43"/>
      <c r="T1262" s="49">
        <v>42349</v>
      </c>
    </row>
    <row r="1263" spans="1:20">
      <c r="A1263" s="44" t="s">
        <v>8745</v>
      </c>
      <c r="B1263" s="44" t="s">
        <v>8746</v>
      </c>
      <c r="C1263" s="45" t="s">
        <v>8747</v>
      </c>
      <c r="D1263" s="44" t="s">
        <v>1419</v>
      </c>
      <c r="E1263" s="44" t="s">
        <v>1460</v>
      </c>
      <c r="F1263" s="51">
        <v>42541.735720983801</v>
      </c>
      <c r="G1263" s="44" t="s">
        <v>1466</v>
      </c>
      <c r="H1263" s="44" t="s">
        <v>8748</v>
      </c>
      <c r="I1263" s="46" t="s">
        <v>8747</v>
      </c>
      <c r="J1263" s="46" t="s">
        <v>8742</v>
      </c>
      <c r="K1263" s="46" t="s">
        <v>1523</v>
      </c>
      <c r="L1263" s="46" t="s">
        <v>1504</v>
      </c>
      <c r="M1263" s="46" t="s">
        <v>8743</v>
      </c>
      <c r="N1263" s="46" t="s">
        <v>1629</v>
      </c>
      <c r="O1263" s="44" t="s">
        <v>8749</v>
      </c>
      <c r="P1263" s="44"/>
      <c r="Q1263" s="44" t="s">
        <v>1463</v>
      </c>
      <c r="R1263" s="44" t="s">
        <v>1463</v>
      </c>
      <c r="S1263" s="43"/>
      <c r="T1263" s="51">
        <v>42177</v>
      </c>
    </row>
    <row r="1264" spans="1:20" ht="26.45">
      <c r="A1264" s="47" t="s">
        <v>484</v>
      </c>
      <c r="B1264" s="47" t="s">
        <v>8750</v>
      </c>
      <c r="C1264" s="48" t="s">
        <v>1301</v>
      </c>
      <c r="D1264" s="47" t="s">
        <v>1432</v>
      </c>
      <c r="E1264" s="47" t="s">
        <v>1481</v>
      </c>
      <c r="F1264" s="47"/>
      <c r="G1264" s="47" t="s">
        <v>1687</v>
      </c>
      <c r="H1264" s="47" t="s">
        <v>8751</v>
      </c>
      <c r="I1264" s="50" t="s">
        <v>8752</v>
      </c>
      <c r="J1264" s="50" t="s">
        <v>8753</v>
      </c>
      <c r="K1264" s="50" t="s">
        <v>8754</v>
      </c>
      <c r="L1264" s="50" t="s">
        <v>1504</v>
      </c>
      <c r="M1264" s="50" t="s">
        <v>8755</v>
      </c>
      <c r="N1264" s="50" t="s">
        <v>1531</v>
      </c>
      <c r="O1264" s="47" t="s">
        <v>8756</v>
      </c>
      <c r="P1264" s="47" t="s">
        <v>8757</v>
      </c>
      <c r="Q1264" s="47" t="s">
        <v>1695</v>
      </c>
      <c r="R1264" s="47" t="s">
        <v>1463</v>
      </c>
      <c r="S1264" s="43"/>
      <c r="T1264" s="49">
        <v>45349</v>
      </c>
    </row>
    <row r="1265" spans="1:20" ht="26.45">
      <c r="A1265" s="44" t="s">
        <v>485</v>
      </c>
      <c r="B1265" s="44" t="s">
        <v>8758</v>
      </c>
      <c r="C1265" s="45" t="s">
        <v>1302</v>
      </c>
      <c r="D1265" s="44" t="s">
        <v>1419</v>
      </c>
      <c r="E1265" s="44" t="s">
        <v>1481</v>
      </c>
      <c r="F1265" s="44"/>
      <c r="G1265" s="44" t="s">
        <v>1687</v>
      </c>
      <c r="H1265" s="44" t="s">
        <v>8759</v>
      </c>
      <c r="I1265" s="46" t="s">
        <v>8760</v>
      </c>
      <c r="J1265" s="46" t="s">
        <v>8761</v>
      </c>
      <c r="K1265" s="46" t="s">
        <v>8762</v>
      </c>
      <c r="L1265" s="46" t="s">
        <v>1504</v>
      </c>
      <c r="M1265" s="46" t="s">
        <v>8763</v>
      </c>
      <c r="N1265" s="46" t="s">
        <v>1516</v>
      </c>
      <c r="O1265" s="44" t="s">
        <v>8764</v>
      </c>
      <c r="P1265" s="44" t="s">
        <v>8765</v>
      </c>
      <c r="Q1265" s="44" t="s">
        <v>1695</v>
      </c>
      <c r="R1265" s="44" t="s">
        <v>1463</v>
      </c>
      <c r="S1265" s="43"/>
      <c r="T1265" s="51">
        <v>45644</v>
      </c>
    </row>
    <row r="1266" spans="1:20">
      <c r="A1266" s="47" t="s">
        <v>8766</v>
      </c>
      <c r="B1266" s="47"/>
      <c r="C1266" s="48" t="s">
        <v>8767</v>
      </c>
      <c r="D1266" s="47" t="s">
        <v>1424</v>
      </c>
      <c r="E1266" s="47" t="s">
        <v>1460</v>
      </c>
      <c r="F1266" s="49">
        <v>43019.996490243102</v>
      </c>
      <c r="G1266" s="47" t="s">
        <v>1466</v>
      </c>
      <c r="H1266" s="47"/>
      <c r="I1266" s="50"/>
      <c r="J1266" s="50" t="s">
        <v>7325</v>
      </c>
      <c r="K1266" s="50" t="s">
        <v>8768</v>
      </c>
      <c r="L1266" s="50"/>
      <c r="M1266" s="50" t="s">
        <v>8769</v>
      </c>
      <c r="N1266" s="50"/>
      <c r="O1266" s="47" t="s">
        <v>8770</v>
      </c>
      <c r="P1266" s="47"/>
      <c r="Q1266" s="47" t="s">
        <v>1463</v>
      </c>
      <c r="R1266" s="47" t="s">
        <v>1463</v>
      </c>
      <c r="S1266" s="43"/>
      <c r="T1266" s="49">
        <v>43271</v>
      </c>
    </row>
    <row r="1267" spans="1:20">
      <c r="A1267" s="44" t="s">
        <v>8771</v>
      </c>
      <c r="B1267" s="44" t="s">
        <v>8772</v>
      </c>
      <c r="C1267" s="45" t="s">
        <v>8773</v>
      </c>
      <c r="D1267" s="44" t="s">
        <v>1414</v>
      </c>
      <c r="E1267" s="44" t="s">
        <v>1481</v>
      </c>
      <c r="F1267" s="44"/>
      <c r="G1267" s="44" t="s">
        <v>1466</v>
      </c>
      <c r="H1267" s="44" t="s">
        <v>8774</v>
      </c>
      <c r="I1267" s="46" t="s">
        <v>8773</v>
      </c>
      <c r="J1267" s="46"/>
      <c r="K1267" s="46"/>
      <c r="L1267" s="46"/>
      <c r="M1267" s="46"/>
      <c r="N1267" s="46"/>
      <c r="O1267" s="44" t="s">
        <v>8775</v>
      </c>
      <c r="P1267" s="44"/>
      <c r="Q1267" s="44" t="s">
        <v>1463</v>
      </c>
      <c r="R1267" s="44" t="s">
        <v>1463</v>
      </c>
      <c r="S1267" s="43"/>
      <c r="T1267" s="44"/>
    </row>
    <row r="1268" spans="1:20" ht="26.45">
      <c r="A1268" s="47" t="s">
        <v>486</v>
      </c>
      <c r="B1268" s="47" t="s">
        <v>8776</v>
      </c>
      <c r="C1268" s="48" t="s">
        <v>1303</v>
      </c>
      <c r="D1268" s="47" t="s">
        <v>1428</v>
      </c>
      <c r="E1268" s="47" t="s">
        <v>1481</v>
      </c>
      <c r="F1268" s="47"/>
      <c r="G1268" s="47" t="s">
        <v>1687</v>
      </c>
      <c r="H1268" s="47" t="s">
        <v>8777</v>
      </c>
      <c r="I1268" s="50" t="s">
        <v>8778</v>
      </c>
      <c r="J1268" s="50" t="s">
        <v>8779</v>
      </c>
      <c r="K1268" s="50" t="s">
        <v>2686</v>
      </c>
      <c r="L1268" s="50" t="s">
        <v>1504</v>
      </c>
      <c r="M1268" s="50" t="s">
        <v>8780</v>
      </c>
      <c r="N1268" s="50" t="s">
        <v>1531</v>
      </c>
      <c r="O1268" s="47" t="s">
        <v>8781</v>
      </c>
      <c r="P1268" s="47" t="s">
        <v>8782</v>
      </c>
      <c r="Q1268" s="47" t="s">
        <v>1695</v>
      </c>
      <c r="R1268" s="47" t="s">
        <v>1463</v>
      </c>
      <c r="S1268" s="43"/>
      <c r="T1268" s="49">
        <v>45300</v>
      </c>
    </row>
    <row r="1269" spans="1:20" ht="26.45">
      <c r="A1269" s="44" t="s">
        <v>8783</v>
      </c>
      <c r="B1269" s="44" t="s">
        <v>8784</v>
      </c>
      <c r="C1269" s="45" t="s">
        <v>8785</v>
      </c>
      <c r="D1269" s="44" t="s">
        <v>1428</v>
      </c>
      <c r="E1269" s="44" t="s">
        <v>1481</v>
      </c>
      <c r="F1269" s="44"/>
      <c r="G1269" s="44" t="s">
        <v>1490</v>
      </c>
      <c r="H1269" s="44" t="s">
        <v>8786</v>
      </c>
      <c r="I1269" s="46" t="s">
        <v>8785</v>
      </c>
      <c r="J1269" s="46" t="s">
        <v>8787</v>
      </c>
      <c r="K1269" s="46" t="s">
        <v>2686</v>
      </c>
      <c r="L1269" s="46" t="s">
        <v>1474</v>
      </c>
      <c r="M1269" s="46" t="s">
        <v>8788</v>
      </c>
      <c r="N1269" s="46" t="s">
        <v>1531</v>
      </c>
      <c r="O1269" s="44" t="s">
        <v>8789</v>
      </c>
      <c r="P1269" s="44"/>
      <c r="Q1269" s="44" t="s">
        <v>1463</v>
      </c>
      <c r="R1269" s="44" t="s">
        <v>1463</v>
      </c>
      <c r="S1269" s="43"/>
      <c r="T1269" s="51">
        <v>43887</v>
      </c>
    </row>
    <row r="1270" spans="1:20" ht="26.45">
      <c r="A1270" s="47" t="s">
        <v>487</v>
      </c>
      <c r="B1270" s="47" t="s">
        <v>8790</v>
      </c>
      <c r="C1270" s="48" t="s">
        <v>1304</v>
      </c>
      <c r="D1270" s="47" t="s">
        <v>1430</v>
      </c>
      <c r="E1270" s="47" t="s">
        <v>1481</v>
      </c>
      <c r="F1270" s="47"/>
      <c r="G1270" s="47" t="s">
        <v>1687</v>
      </c>
      <c r="H1270" s="47" t="s">
        <v>8791</v>
      </c>
      <c r="I1270" s="50" t="s">
        <v>8792</v>
      </c>
      <c r="J1270" s="50" t="s">
        <v>8793</v>
      </c>
      <c r="K1270" s="50" t="s">
        <v>8794</v>
      </c>
      <c r="L1270" s="50" t="s">
        <v>1474</v>
      </c>
      <c r="M1270" s="50" t="s">
        <v>8795</v>
      </c>
      <c r="N1270" s="50" t="s">
        <v>1531</v>
      </c>
      <c r="O1270" s="47" t="s">
        <v>8796</v>
      </c>
      <c r="P1270" s="47" t="s">
        <v>8797</v>
      </c>
      <c r="Q1270" s="47" t="s">
        <v>1695</v>
      </c>
      <c r="R1270" s="47" t="s">
        <v>1463</v>
      </c>
      <c r="S1270" s="43"/>
      <c r="T1270" s="49">
        <v>45586</v>
      </c>
    </row>
    <row r="1271" spans="1:20">
      <c r="A1271" s="44" t="s">
        <v>8798</v>
      </c>
      <c r="B1271" s="44" t="s">
        <v>8799</v>
      </c>
      <c r="C1271" s="45" t="s">
        <v>8800</v>
      </c>
      <c r="D1271" s="44" t="s">
        <v>1420</v>
      </c>
      <c r="E1271" s="44" t="s">
        <v>1481</v>
      </c>
      <c r="F1271" s="44"/>
      <c r="G1271" s="44" t="s">
        <v>1687</v>
      </c>
      <c r="H1271" s="44"/>
      <c r="I1271" s="46" t="s">
        <v>8801</v>
      </c>
      <c r="J1271" s="46" t="s">
        <v>8802</v>
      </c>
      <c r="K1271" s="46" t="s">
        <v>3443</v>
      </c>
      <c r="L1271" s="46" t="s">
        <v>1474</v>
      </c>
      <c r="M1271" s="46" t="s">
        <v>8803</v>
      </c>
      <c r="N1271" s="46" t="s">
        <v>1531</v>
      </c>
      <c r="O1271" s="44" t="s">
        <v>8804</v>
      </c>
      <c r="P1271" s="44"/>
      <c r="Q1271" s="44" t="s">
        <v>1463</v>
      </c>
      <c r="R1271" s="44" t="s">
        <v>1463</v>
      </c>
      <c r="S1271" s="43"/>
      <c r="T1271" s="51">
        <v>45582</v>
      </c>
    </row>
    <row r="1272" spans="1:20" ht="26.45">
      <c r="A1272" s="47" t="s">
        <v>488</v>
      </c>
      <c r="B1272" s="47" t="s">
        <v>8805</v>
      </c>
      <c r="C1272" s="48" t="s">
        <v>1305</v>
      </c>
      <c r="D1272" s="47" t="s">
        <v>1419</v>
      </c>
      <c r="E1272" s="47" t="s">
        <v>1481</v>
      </c>
      <c r="F1272" s="47"/>
      <c r="G1272" s="47" t="s">
        <v>1687</v>
      </c>
      <c r="H1272" s="47" t="s">
        <v>8806</v>
      </c>
      <c r="I1272" s="50" t="s">
        <v>8807</v>
      </c>
      <c r="J1272" s="50" t="s">
        <v>8808</v>
      </c>
      <c r="K1272" s="50" t="s">
        <v>1493</v>
      </c>
      <c r="L1272" s="50" t="s">
        <v>1504</v>
      </c>
      <c r="M1272" s="50" t="s">
        <v>8809</v>
      </c>
      <c r="N1272" s="50" t="s">
        <v>1495</v>
      </c>
      <c r="O1272" s="47" t="s">
        <v>8810</v>
      </c>
      <c r="P1272" s="47" t="s">
        <v>8811</v>
      </c>
      <c r="Q1272" s="47" t="s">
        <v>1695</v>
      </c>
      <c r="R1272" s="47" t="s">
        <v>1463</v>
      </c>
      <c r="S1272" s="43"/>
      <c r="T1272" s="49">
        <v>45404</v>
      </c>
    </row>
    <row r="1273" spans="1:20" ht="26.45">
      <c r="A1273" s="44" t="s">
        <v>489</v>
      </c>
      <c r="B1273" s="44" t="s">
        <v>8812</v>
      </c>
      <c r="C1273" s="45" t="s">
        <v>1306</v>
      </c>
      <c r="D1273" s="44" t="s">
        <v>1424</v>
      </c>
      <c r="E1273" s="44" t="s">
        <v>1481</v>
      </c>
      <c r="F1273" s="44"/>
      <c r="G1273" s="44" t="s">
        <v>1687</v>
      </c>
      <c r="H1273" s="44" t="s">
        <v>8813</v>
      </c>
      <c r="I1273" s="46" t="s">
        <v>8814</v>
      </c>
      <c r="J1273" s="46" t="s">
        <v>8815</v>
      </c>
      <c r="K1273" s="46" t="s">
        <v>8816</v>
      </c>
      <c r="L1273" s="46" t="s">
        <v>1504</v>
      </c>
      <c r="M1273" s="46" t="s">
        <v>8817</v>
      </c>
      <c r="N1273" s="46" t="s">
        <v>1641</v>
      </c>
      <c r="O1273" s="44" t="s">
        <v>8818</v>
      </c>
      <c r="P1273" s="44" t="s">
        <v>8819</v>
      </c>
      <c r="Q1273" s="44" t="s">
        <v>1695</v>
      </c>
      <c r="R1273" s="44" t="s">
        <v>1463</v>
      </c>
      <c r="S1273" s="43"/>
      <c r="T1273" s="51">
        <v>45623</v>
      </c>
    </row>
    <row r="1274" spans="1:20" ht="26.45">
      <c r="A1274" s="47" t="s">
        <v>490</v>
      </c>
      <c r="B1274" s="47" t="s">
        <v>8820</v>
      </c>
      <c r="C1274" s="48" t="s">
        <v>1307</v>
      </c>
      <c r="D1274" s="47" t="s">
        <v>1432</v>
      </c>
      <c r="E1274" s="47" t="s">
        <v>1481</v>
      </c>
      <c r="F1274" s="47"/>
      <c r="G1274" s="47" t="s">
        <v>1687</v>
      </c>
      <c r="H1274" s="47" t="s">
        <v>8821</v>
      </c>
      <c r="I1274" s="50" t="s">
        <v>8822</v>
      </c>
      <c r="J1274" s="50" t="s">
        <v>8823</v>
      </c>
      <c r="K1274" s="50" t="s">
        <v>8824</v>
      </c>
      <c r="L1274" s="50" t="s">
        <v>8825</v>
      </c>
      <c r="M1274" s="50" t="s">
        <v>8826</v>
      </c>
      <c r="N1274" s="50" t="s">
        <v>1531</v>
      </c>
      <c r="O1274" s="47" t="s">
        <v>8827</v>
      </c>
      <c r="P1274" s="47" t="s">
        <v>8828</v>
      </c>
      <c r="Q1274" s="47" t="s">
        <v>1695</v>
      </c>
      <c r="R1274" s="47" t="s">
        <v>1463</v>
      </c>
      <c r="S1274" s="43"/>
      <c r="T1274" s="49">
        <v>45593</v>
      </c>
    </row>
    <row r="1275" spans="1:20" ht="26.45">
      <c r="A1275" s="44" t="s">
        <v>8829</v>
      </c>
      <c r="B1275" s="44" t="s">
        <v>8830</v>
      </c>
      <c r="C1275" s="45" t="s">
        <v>8831</v>
      </c>
      <c r="D1275" s="44" t="s">
        <v>1428</v>
      </c>
      <c r="E1275" s="44" t="s">
        <v>1481</v>
      </c>
      <c r="F1275" s="44"/>
      <c r="G1275" s="44" t="s">
        <v>1490</v>
      </c>
      <c r="H1275" s="44" t="s">
        <v>8832</v>
      </c>
      <c r="I1275" s="46" t="s">
        <v>8831</v>
      </c>
      <c r="J1275" s="46" t="s">
        <v>8833</v>
      </c>
      <c r="K1275" s="46" t="s">
        <v>7760</v>
      </c>
      <c r="L1275" s="46" t="s">
        <v>1504</v>
      </c>
      <c r="M1275" s="46" t="s">
        <v>8834</v>
      </c>
      <c r="N1275" s="46" t="s">
        <v>1525</v>
      </c>
      <c r="O1275" s="44"/>
      <c r="P1275" s="44"/>
      <c r="Q1275" s="44" t="s">
        <v>1463</v>
      </c>
      <c r="R1275" s="44" t="s">
        <v>1463</v>
      </c>
      <c r="S1275" s="43"/>
      <c r="T1275" s="44"/>
    </row>
    <row r="1276" spans="1:20" ht="26.45">
      <c r="A1276" s="47" t="s">
        <v>8835</v>
      </c>
      <c r="B1276" s="47"/>
      <c r="C1276" s="48" t="s">
        <v>8836</v>
      </c>
      <c r="D1276" s="47" t="s">
        <v>1419</v>
      </c>
      <c r="E1276" s="47" t="s">
        <v>1460</v>
      </c>
      <c r="F1276" s="49">
        <v>41457.382442129601</v>
      </c>
      <c r="G1276" s="47" t="s">
        <v>1663</v>
      </c>
      <c r="H1276" s="47"/>
      <c r="I1276" s="50"/>
      <c r="J1276" s="50"/>
      <c r="K1276" s="50"/>
      <c r="L1276" s="50"/>
      <c r="M1276" s="50"/>
      <c r="N1276" s="50"/>
      <c r="O1276" s="47"/>
      <c r="P1276" s="47"/>
      <c r="Q1276" s="47" t="s">
        <v>1463</v>
      </c>
      <c r="R1276" s="47" t="s">
        <v>1463</v>
      </c>
      <c r="S1276" s="43"/>
      <c r="T1276" s="47"/>
    </row>
    <row r="1277" spans="1:20" ht="26.45">
      <c r="A1277" s="44" t="s">
        <v>491</v>
      </c>
      <c r="B1277" s="44" t="s">
        <v>8837</v>
      </c>
      <c r="C1277" s="45" t="s">
        <v>1308</v>
      </c>
      <c r="D1277" s="44" t="s">
        <v>1420</v>
      </c>
      <c r="E1277" s="44" t="s">
        <v>1481</v>
      </c>
      <c r="F1277" s="44"/>
      <c r="G1277" s="44" t="s">
        <v>1687</v>
      </c>
      <c r="H1277" s="44" t="s">
        <v>8838</v>
      </c>
      <c r="I1277" s="46" t="s">
        <v>8839</v>
      </c>
      <c r="J1277" s="46" t="s">
        <v>8840</v>
      </c>
      <c r="K1277" s="46" t="s">
        <v>8841</v>
      </c>
      <c r="L1277" s="46" t="s">
        <v>1474</v>
      </c>
      <c r="M1277" s="46" t="s">
        <v>8842</v>
      </c>
      <c r="N1277" s="46" t="s">
        <v>1476</v>
      </c>
      <c r="O1277" s="44" t="s">
        <v>8843</v>
      </c>
      <c r="P1277" s="44" t="s">
        <v>8844</v>
      </c>
      <c r="Q1277" s="44" t="s">
        <v>1695</v>
      </c>
      <c r="R1277" s="44" t="s">
        <v>1463</v>
      </c>
      <c r="S1277" s="43"/>
      <c r="T1277" s="51">
        <v>45347</v>
      </c>
    </row>
    <row r="1278" spans="1:20" ht="26.45">
      <c r="A1278" s="47" t="s">
        <v>1309</v>
      </c>
      <c r="B1278" s="47" t="s">
        <v>8845</v>
      </c>
      <c r="C1278" s="48" t="s">
        <v>1310</v>
      </c>
      <c r="D1278" s="47" t="s">
        <v>1420</v>
      </c>
      <c r="E1278" s="47" t="s">
        <v>1481</v>
      </c>
      <c r="F1278" s="47"/>
      <c r="G1278" s="47" t="s">
        <v>1687</v>
      </c>
      <c r="H1278" s="47" t="s">
        <v>8846</v>
      </c>
      <c r="I1278" s="50" t="s">
        <v>8847</v>
      </c>
      <c r="J1278" s="50" t="s">
        <v>8848</v>
      </c>
      <c r="K1278" s="50" t="s">
        <v>8849</v>
      </c>
      <c r="L1278" s="50" t="s">
        <v>1504</v>
      </c>
      <c r="M1278" s="50" t="s">
        <v>8850</v>
      </c>
      <c r="N1278" s="50" t="s">
        <v>1531</v>
      </c>
      <c r="O1278" s="47" t="s">
        <v>8851</v>
      </c>
      <c r="P1278" s="47" t="s">
        <v>8852</v>
      </c>
      <c r="Q1278" s="47" t="s">
        <v>1695</v>
      </c>
      <c r="R1278" s="47" t="s">
        <v>1463</v>
      </c>
      <c r="S1278" s="43"/>
      <c r="T1278" s="49">
        <v>45457</v>
      </c>
    </row>
    <row r="1279" spans="1:20" ht="26.45">
      <c r="A1279" s="44" t="s">
        <v>8853</v>
      </c>
      <c r="B1279" s="44" t="s">
        <v>8854</v>
      </c>
      <c r="C1279" s="45" t="s">
        <v>8855</v>
      </c>
      <c r="D1279" s="44" t="s">
        <v>1420</v>
      </c>
      <c r="E1279" s="44" t="s">
        <v>1481</v>
      </c>
      <c r="F1279" s="44"/>
      <c r="G1279" s="44" t="s">
        <v>1663</v>
      </c>
      <c r="H1279" s="44" t="s">
        <v>8856</v>
      </c>
      <c r="I1279" s="46" t="s">
        <v>8857</v>
      </c>
      <c r="J1279" s="46" t="s">
        <v>8858</v>
      </c>
      <c r="K1279" s="46" t="s">
        <v>3443</v>
      </c>
      <c r="L1279" s="46" t="s">
        <v>1474</v>
      </c>
      <c r="M1279" s="46" t="s">
        <v>8859</v>
      </c>
      <c r="N1279" s="46" t="s">
        <v>1531</v>
      </c>
      <c r="O1279" s="44" t="s">
        <v>8860</v>
      </c>
      <c r="P1279" s="44" t="s">
        <v>8861</v>
      </c>
      <c r="Q1279" s="44" t="s">
        <v>1463</v>
      </c>
      <c r="R1279" s="44" t="s">
        <v>1463</v>
      </c>
      <c r="S1279" s="43"/>
      <c r="T1279" s="51">
        <v>45376</v>
      </c>
    </row>
    <row r="1280" spans="1:20" ht="26.45">
      <c r="A1280" s="47" t="s">
        <v>8862</v>
      </c>
      <c r="B1280" s="47" t="s">
        <v>8863</v>
      </c>
      <c r="C1280" s="48" t="s">
        <v>8864</v>
      </c>
      <c r="D1280" s="47" t="s">
        <v>1420</v>
      </c>
      <c r="E1280" s="47" t="s">
        <v>1481</v>
      </c>
      <c r="F1280" s="47"/>
      <c r="G1280" s="47" t="s">
        <v>1663</v>
      </c>
      <c r="H1280" s="47" t="s">
        <v>8865</v>
      </c>
      <c r="I1280" s="50" t="s">
        <v>8866</v>
      </c>
      <c r="J1280" s="50" t="s">
        <v>8867</v>
      </c>
      <c r="K1280" s="50" t="s">
        <v>3443</v>
      </c>
      <c r="L1280" s="50" t="s">
        <v>1504</v>
      </c>
      <c r="M1280" s="50" t="s">
        <v>8850</v>
      </c>
      <c r="N1280" s="50" t="s">
        <v>1476</v>
      </c>
      <c r="O1280" s="47" t="s">
        <v>7631</v>
      </c>
      <c r="P1280" s="47" t="s">
        <v>8868</v>
      </c>
      <c r="Q1280" s="47" t="s">
        <v>1463</v>
      </c>
      <c r="R1280" s="47" t="s">
        <v>1463</v>
      </c>
      <c r="S1280" s="43"/>
      <c r="T1280" s="49">
        <v>45637</v>
      </c>
    </row>
    <row r="1281" spans="1:20" ht="26.45">
      <c r="A1281" s="44" t="s">
        <v>1311</v>
      </c>
      <c r="B1281" s="44" t="s">
        <v>8869</v>
      </c>
      <c r="C1281" s="45" t="s">
        <v>1312</v>
      </c>
      <c r="D1281" s="44" t="s">
        <v>1420</v>
      </c>
      <c r="E1281" s="44" t="s">
        <v>1481</v>
      </c>
      <c r="F1281" s="44"/>
      <c r="G1281" s="44" t="s">
        <v>1663</v>
      </c>
      <c r="H1281" s="44" t="s">
        <v>8870</v>
      </c>
      <c r="I1281" s="46" t="s">
        <v>8871</v>
      </c>
      <c r="J1281" s="46" t="s">
        <v>8872</v>
      </c>
      <c r="K1281" s="46" t="s">
        <v>7629</v>
      </c>
      <c r="L1281" s="46" t="s">
        <v>1504</v>
      </c>
      <c r="M1281" s="46" t="s">
        <v>8873</v>
      </c>
      <c r="N1281" s="46" t="s">
        <v>1531</v>
      </c>
      <c r="O1281" s="44" t="s">
        <v>8874</v>
      </c>
      <c r="P1281" s="44" t="s">
        <v>8875</v>
      </c>
      <c r="Q1281" s="44" t="s">
        <v>1463</v>
      </c>
      <c r="R1281" s="44" t="s">
        <v>1463</v>
      </c>
      <c r="S1281" s="43"/>
      <c r="T1281" s="51">
        <v>45635</v>
      </c>
    </row>
    <row r="1282" spans="1:20">
      <c r="A1282" s="47" t="s">
        <v>1313</v>
      </c>
      <c r="B1282" s="47" t="s">
        <v>8876</v>
      </c>
      <c r="C1282" s="48" t="s">
        <v>1314</v>
      </c>
      <c r="D1282" s="47" t="s">
        <v>1420</v>
      </c>
      <c r="E1282" s="47" t="s">
        <v>1481</v>
      </c>
      <c r="F1282" s="47"/>
      <c r="G1282" s="47" t="s">
        <v>1663</v>
      </c>
      <c r="H1282" s="47"/>
      <c r="I1282" s="50"/>
      <c r="J1282" s="50"/>
      <c r="K1282" s="50"/>
      <c r="L1282" s="50"/>
      <c r="M1282" s="50"/>
      <c r="N1282" s="50"/>
      <c r="O1282" s="47"/>
      <c r="P1282" s="47"/>
      <c r="Q1282" s="47" t="s">
        <v>1463</v>
      </c>
      <c r="R1282" s="47" t="s">
        <v>1463</v>
      </c>
      <c r="S1282" s="43"/>
      <c r="T1282" s="47"/>
    </row>
    <row r="1283" spans="1:20">
      <c r="A1283" s="44" t="s">
        <v>8877</v>
      </c>
      <c r="B1283" s="44" t="s">
        <v>7281</v>
      </c>
      <c r="C1283" s="45" t="s">
        <v>8878</v>
      </c>
      <c r="D1283" s="44" t="s">
        <v>1420</v>
      </c>
      <c r="E1283" s="44" t="s">
        <v>1481</v>
      </c>
      <c r="F1283" s="44"/>
      <c r="G1283" s="44" t="s">
        <v>1663</v>
      </c>
      <c r="H1283" s="44" t="s">
        <v>8879</v>
      </c>
      <c r="I1283" s="46" t="s">
        <v>8878</v>
      </c>
      <c r="J1283" s="46" t="s">
        <v>8880</v>
      </c>
      <c r="K1283" s="46" t="s">
        <v>3877</v>
      </c>
      <c r="L1283" s="46" t="s">
        <v>1504</v>
      </c>
      <c r="M1283" s="46" t="s">
        <v>8881</v>
      </c>
      <c r="N1283" s="46" t="s">
        <v>1641</v>
      </c>
      <c r="O1283" s="44" t="s">
        <v>8882</v>
      </c>
      <c r="P1283" s="44" t="s">
        <v>8883</v>
      </c>
      <c r="Q1283" s="44" t="s">
        <v>1463</v>
      </c>
      <c r="R1283" s="44" t="s">
        <v>1463</v>
      </c>
      <c r="S1283" s="43"/>
      <c r="T1283" s="51">
        <v>45343</v>
      </c>
    </row>
    <row r="1284" spans="1:20">
      <c r="A1284" s="47" t="s">
        <v>8884</v>
      </c>
      <c r="B1284" s="47"/>
      <c r="C1284" s="48" t="s">
        <v>8885</v>
      </c>
      <c r="D1284" s="47" t="s">
        <v>1420</v>
      </c>
      <c r="E1284" s="47" t="s">
        <v>1460</v>
      </c>
      <c r="F1284" s="49">
        <v>41474.645780439801</v>
      </c>
      <c r="G1284" s="47" t="s">
        <v>1466</v>
      </c>
      <c r="H1284" s="47"/>
      <c r="I1284" s="50"/>
      <c r="J1284" s="50"/>
      <c r="K1284" s="50"/>
      <c r="L1284" s="50"/>
      <c r="M1284" s="50"/>
      <c r="N1284" s="50"/>
      <c r="O1284" s="47"/>
      <c r="P1284" s="47"/>
      <c r="Q1284" s="47" t="s">
        <v>1463</v>
      </c>
      <c r="R1284" s="47" t="s">
        <v>1463</v>
      </c>
      <c r="S1284" s="43"/>
      <c r="T1284" s="47"/>
    </row>
    <row r="1285" spans="1:20" ht="26.45">
      <c r="A1285" s="44" t="s">
        <v>492</v>
      </c>
      <c r="B1285" s="44" t="s">
        <v>8886</v>
      </c>
      <c r="C1285" s="45" t="s">
        <v>1315</v>
      </c>
      <c r="D1285" s="44" t="s">
        <v>1434</v>
      </c>
      <c r="E1285" s="44" t="s">
        <v>1481</v>
      </c>
      <c r="F1285" s="44"/>
      <c r="G1285" s="44" t="s">
        <v>1687</v>
      </c>
      <c r="H1285" s="44" t="s">
        <v>8887</v>
      </c>
      <c r="I1285" s="46" t="s">
        <v>8888</v>
      </c>
      <c r="J1285" s="46" t="s">
        <v>8889</v>
      </c>
      <c r="K1285" s="46" t="s">
        <v>8890</v>
      </c>
      <c r="L1285" s="46" t="s">
        <v>1504</v>
      </c>
      <c r="M1285" s="46" t="s">
        <v>8891</v>
      </c>
      <c r="N1285" s="46" t="s">
        <v>1531</v>
      </c>
      <c r="O1285" s="44" t="s">
        <v>8892</v>
      </c>
      <c r="P1285" s="44" t="s">
        <v>8893</v>
      </c>
      <c r="Q1285" s="44" t="s">
        <v>1695</v>
      </c>
      <c r="R1285" s="44" t="s">
        <v>1463</v>
      </c>
      <c r="S1285" s="43"/>
      <c r="T1285" s="51">
        <v>45470</v>
      </c>
    </row>
    <row r="1286" spans="1:20" ht="26.45">
      <c r="A1286" s="47" t="s">
        <v>493</v>
      </c>
      <c r="B1286" s="47" t="s">
        <v>8894</v>
      </c>
      <c r="C1286" s="48" t="s">
        <v>1316</v>
      </c>
      <c r="D1286" s="47" t="s">
        <v>1416</v>
      </c>
      <c r="E1286" s="47" t="s">
        <v>1481</v>
      </c>
      <c r="F1286" s="47"/>
      <c r="G1286" s="47" t="s">
        <v>1466</v>
      </c>
      <c r="H1286" s="47" t="s">
        <v>8895</v>
      </c>
      <c r="I1286" s="50" t="s">
        <v>8896</v>
      </c>
      <c r="J1286" s="50" t="s">
        <v>8897</v>
      </c>
      <c r="K1286" s="50" t="s">
        <v>1569</v>
      </c>
      <c r="L1286" s="50" t="s">
        <v>1474</v>
      </c>
      <c r="M1286" s="50" t="s">
        <v>8898</v>
      </c>
      <c r="N1286" s="50" t="s">
        <v>1476</v>
      </c>
      <c r="O1286" s="47" t="s">
        <v>8899</v>
      </c>
      <c r="P1286" s="47" t="s">
        <v>8900</v>
      </c>
      <c r="Q1286" s="47" t="s">
        <v>1463</v>
      </c>
      <c r="R1286" s="47" t="s">
        <v>1463</v>
      </c>
      <c r="S1286" s="43"/>
      <c r="T1286" s="49">
        <v>45573</v>
      </c>
    </row>
    <row r="1287" spans="1:20">
      <c r="A1287" s="44" t="s">
        <v>8901</v>
      </c>
      <c r="B1287" s="44" t="s">
        <v>8902</v>
      </c>
      <c r="C1287" s="45" t="s">
        <v>8903</v>
      </c>
      <c r="D1287" s="44" t="s">
        <v>1419</v>
      </c>
      <c r="E1287" s="44" t="s">
        <v>1481</v>
      </c>
      <c r="F1287" s="44"/>
      <c r="G1287" s="44" t="s">
        <v>1466</v>
      </c>
      <c r="H1287" s="44" t="s">
        <v>8904</v>
      </c>
      <c r="I1287" s="46" t="s">
        <v>8903</v>
      </c>
      <c r="J1287" s="46"/>
      <c r="K1287" s="46"/>
      <c r="L1287" s="46"/>
      <c r="M1287" s="46"/>
      <c r="N1287" s="46"/>
      <c r="O1287" s="44" t="s">
        <v>8905</v>
      </c>
      <c r="P1287" s="44"/>
      <c r="Q1287" s="44" t="s">
        <v>1463</v>
      </c>
      <c r="R1287" s="44" t="s">
        <v>1463</v>
      </c>
      <c r="S1287" s="43"/>
      <c r="T1287" s="44"/>
    </row>
    <row r="1288" spans="1:20" ht="26.45">
      <c r="A1288" s="47" t="s">
        <v>494</v>
      </c>
      <c r="B1288" s="47" t="s">
        <v>8906</v>
      </c>
      <c r="C1288" s="48" t="s">
        <v>1317</v>
      </c>
      <c r="D1288" s="47" t="s">
        <v>1416</v>
      </c>
      <c r="E1288" s="47" t="s">
        <v>1481</v>
      </c>
      <c r="F1288" s="47"/>
      <c r="G1288" s="47" t="s">
        <v>1687</v>
      </c>
      <c r="H1288" s="47" t="s">
        <v>8907</v>
      </c>
      <c r="I1288" s="50" t="s">
        <v>8908</v>
      </c>
      <c r="J1288" s="50" t="s">
        <v>8909</v>
      </c>
      <c r="K1288" s="50" t="s">
        <v>8910</v>
      </c>
      <c r="L1288" s="50" t="s">
        <v>1474</v>
      </c>
      <c r="M1288" s="50" t="s">
        <v>8911</v>
      </c>
      <c r="N1288" s="50" t="s">
        <v>1476</v>
      </c>
      <c r="O1288" s="47" t="s">
        <v>8912</v>
      </c>
      <c r="P1288" s="47" t="s">
        <v>8913</v>
      </c>
      <c r="Q1288" s="47" t="s">
        <v>1695</v>
      </c>
      <c r="R1288" s="47" t="s">
        <v>1463</v>
      </c>
      <c r="S1288" s="43"/>
      <c r="T1288" s="49">
        <v>45611</v>
      </c>
    </row>
    <row r="1289" spans="1:20">
      <c r="A1289" s="44" t="s">
        <v>8914</v>
      </c>
      <c r="B1289" s="44"/>
      <c r="C1289" s="45" t="s">
        <v>8915</v>
      </c>
      <c r="D1289" s="44" t="s">
        <v>1425</v>
      </c>
      <c r="E1289" s="44" t="s">
        <v>1460</v>
      </c>
      <c r="F1289" s="51">
        <v>41584.956711539402</v>
      </c>
      <c r="G1289" s="44" t="s">
        <v>1687</v>
      </c>
      <c r="H1289" s="44"/>
      <c r="I1289" s="46"/>
      <c r="J1289" s="46"/>
      <c r="K1289" s="46"/>
      <c r="L1289" s="46"/>
      <c r="M1289" s="46"/>
      <c r="N1289" s="46"/>
      <c r="O1289" s="44"/>
      <c r="P1289" s="44"/>
      <c r="Q1289" s="44" t="s">
        <v>1695</v>
      </c>
      <c r="R1289" s="44" t="s">
        <v>1463</v>
      </c>
      <c r="S1289" s="43"/>
      <c r="T1289" s="44"/>
    </row>
    <row r="1290" spans="1:20" ht="26.45">
      <c r="A1290" s="47" t="s">
        <v>8916</v>
      </c>
      <c r="B1290" s="47" t="s">
        <v>8917</v>
      </c>
      <c r="C1290" s="48" t="s">
        <v>8918</v>
      </c>
      <c r="D1290" s="47" t="s">
        <v>1425</v>
      </c>
      <c r="E1290" s="47" t="s">
        <v>1481</v>
      </c>
      <c r="F1290" s="47"/>
      <c r="G1290" s="47" t="s">
        <v>1687</v>
      </c>
      <c r="H1290" s="47" t="s">
        <v>8919</v>
      </c>
      <c r="I1290" s="50" t="s">
        <v>8920</v>
      </c>
      <c r="J1290" s="50" t="s">
        <v>8921</v>
      </c>
      <c r="K1290" s="50" t="s">
        <v>8922</v>
      </c>
      <c r="L1290" s="50" t="s">
        <v>1504</v>
      </c>
      <c r="M1290" s="50" t="s">
        <v>2456</v>
      </c>
      <c r="N1290" s="50" t="s">
        <v>1629</v>
      </c>
      <c r="O1290" s="47" t="s">
        <v>2457</v>
      </c>
      <c r="P1290" s="47" t="s">
        <v>2458</v>
      </c>
      <c r="Q1290" s="47" t="s">
        <v>1463</v>
      </c>
      <c r="R1290" s="47" t="s">
        <v>1463</v>
      </c>
      <c r="S1290" s="43"/>
      <c r="T1290" s="49">
        <v>45532</v>
      </c>
    </row>
    <row r="1291" spans="1:20" ht="26.45">
      <c r="A1291" s="44" t="s">
        <v>1318</v>
      </c>
      <c r="B1291" s="44" t="s">
        <v>8923</v>
      </c>
      <c r="C1291" s="45" t="s">
        <v>1319</v>
      </c>
      <c r="D1291" s="44" t="s">
        <v>1425</v>
      </c>
      <c r="E1291" s="44" t="s">
        <v>1481</v>
      </c>
      <c r="F1291" s="44"/>
      <c r="G1291" s="44" t="s">
        <v>1663</v>
      </c>
      <c r="H1291" s="44" t="s">
        <v>8924</v>
      </c>
      <c r="I1291" s="46" t="s">
        <v>8925</v>
      </c>
      <c r="J1291" s="46" t="s">
        <v>8926</v>
      </c>
      <c r="K1291" s="46" t="s">
        <v>8922</v>
      </c>
      <c r="L1291" s="46" t="s">
        <v>1504</v>
      </c>
      <c r="M1291" s="46" t="s">
        <v>2456</v>
      </c>
      <c r="N1291" s="46" t="s">
        <v>1495</v>
      </c>
      <c r="O1291" s="44" t="s">
        <v>2457</v>
      </c>
      <c r="P1291" s="44" t="s">
        <v>2458</v>
      </c>
      <c r="Q1291" s="44" t="s">
        <v>1463</v>
      </c>
      <c r="R1291" s="44" t="s">
        <v>1463</v>
      </c>
      <c r="S1291" s="43"/>
      <c r="T1291" s="51">
        <v>45532</v>
      </c>
    </row>
    <row r="1292" spans="1:20" ht="26.45">
      <c r="A1292" s="47" t="s">
        <v>1320</v>
      </c>
      <c r="B1292" s="47" t="s">
        <v>8927</v>
      </c>
      <c r="C1292" s="48" t="s">
        <v>1321</v>
      </c>
      <c r="D1292" s="47" t="s">
        <v>1425</v>
      </c>
      <c r="E1292" s="47" t="s">
        <v>1481</v>
      </c>
      <c r="F1292" s="47"/>
      <c r="G1292" s="47" t="s">
        <v>1663</v>
      </c>
      <c r="H1292" s="47" t="s">
        <v>8928</v>
      </c>
      <c r="I1292" s="50" t="s">
        <v>8920</v>
      </c>
      <c r="J1292" s="50" t="s">
        <v>8921</v>
      </c>
      <c r="K1292" s="50" t="s">
        <v>8922</v>
      </c>
      <c r="L1292" s="50" t="s">
        <v>1504</v>
      </c>
      <c r="M1292" s="50" t="s">
        <v>2456</v>
      </c>
      <c r="N1292" s="50" t="s">
        <v>1629</v>
      </c>
      <c r="O1292" s="47" t="s">
        <v>2457</v>
      </c>
      <c r="P1292" s="47" t="s">
        <v>2458</v>
      </c>
      <c r="Q1292" s="47" t="s">
        <v>1463</v>
      </c>
      <c r="R1292" s="47" t="s">
        <v>1463</v>
      </c>
      <c r="S1292" s="43"/>
      <c r="T1292" s="49">
        <v>45532</v>
      </c>
    </row>
    <row r="1293" spans="1:20" ht="26.45">
      <c r="A1293" s="44" t="s">
        <v>8929</v>
      </c>
      <c r="B1293" s="44"/>
      <c r="C1293" s="45" t="s">
        <v>8930</v>
      </c>
      <c r="D1293" s="44" t="s">
        <v>1425</v>
      </c>
      <c r="E1293" s="44" t="s">
        <v>1460</v>
      </c>
      <c r="F1293" s="51">
        <v>41457.382443715302</v>
      </c>
      <c r="G1293" s="44" t="s">
        <v>1663</v>
      </c>
      <c r="H1293" s="44" t="s">
        <v>8931</v>
      </c>
      <c r="I1293" s="46"/>
      <c r="J1293" s="46"/>
      <c r="K1293" s="46"/>
      <c r="L1293" s="46"/>
      <c r="M1293" s="46"/>
      <c r="N1293" s="46"/>
      <c r="O1293" s="44"/>
      <c r="P1293" s="44"/>
      <c r="Q1293" s="44" t="s">
        <v>1463</v>
      </c>
      <c r="R1293" s="44" t="s">
        <v>1463</v>
      </c>
      <c r="S1293" s="43"/>
      <c r="T1293" s="44"/>
    </row>
    <row r="1294" spans="1:20" ht="26.45">
      <c r="A1294" s="47" t="s">
        <v>495</v>
      </c>
      <c r="B1294" s="47" t="s">
        <v>8932</v>
      </c>
      <c r="C1294" s="48" t="s">
        <v>1322</v>
      </c>
      <c r="D1294" s="47" t="s">
        <v>1425</v>
      </c>
      <c r="E1294" s="47" t="s">
        <v>1481</v>
      </c>
      <c r="F1294" s="47"/>
      <c r="G1294" s="47" t="s">
        <v>1687</v>
      </c>
      <c r="H1294" s="47" t="s">
        <v>8933</v>
      </c>
      <c r="I1294" s="50" t="s">
        <v>8934</v>
      </c>
      <c r="J1294" s="50" t="s">
        <v>8935</v>
      </c>
      <c r="K1294" s="50" t="s">
        <v>1425</v>
      </c>
      <c r="L1294" s="50" t="s">
        <v>1474</v>
      </c>
      <c r="M1294" s="50" t="s">
        <v>8936</v>
      </c>
      <c r="N1294" s="50" t="s">
        <v>1495</v>
      </c>
      <c r="O1294" s="47" t="s">
        <v>8937</v>
      </c>
      <c r="P1294" s="47" t="s">
        <v>8938</v>
      </c>
      <c r="Q1294" s="47" t="s">
        <v>1463</v>
      </c>
      <c r="R1294" s="47" t="s">
        <v>1463</v>
      </c>
      <c r="S1294" s="43"/>
      <c r="T1294" s="49">
        <v>45527</v>
      </c>
    </row>
    <row r="1295" spans="1:20" ht="26.45">
      <c r="A1295" s="44" t="s">
        <v>1323</v>
      </c>
      <c r="B1295" s="44" t="s">
        <v>8939</v>
      </c>
      <c r="C1295" s="45" t="s">
        <v>1324</v>
      </c>
      <c r="D1295" s="44" t="s">
        <v>1425</v>
      </c>
      <c r="E1295" s="44" t="s">
        <v>1481</v>
      </c>
      <c r="F1295" s="44"/>
      <c r="G1295" s="44" t="s">
        <v>1466</v>
      </c>
      <c r="H1295" s="44" t="s">
        <v>8940</v>
      </c>
      <c r="I1295" s="46" t="s">
        <v>1324</v>
      </c>
      <c r="J1295" s="46" t="s">
        <v>8941</v>
      </c>
      <c r="K1295" s="46" t="s">
        <v>1425</v>
      </c>
      <c r="L1295" s="46" t="s">
        <v>1474</v>
      </c>
      <c r="M1295" s="46" t="s">
        <v>8942</v>
      </c>
      <c r="N1295" s="46" t="s">
        <v>1495</v>
      </c>
      <c r="O1295" s="44" t="s">
        <v>8943</v>
      </c>
      <c r="P1295" s="44" t="s">
        <v>8944</v>
      </c>
      <c r="Q1295" s="44" t="s">
        <v>1463</v>
      </c>
      <c r="R1295" s="44" t="s">
        <v>1463</v>
      </c>
      <c r="S1295" s="43"/>
      <c r="T1295" s="51">
        <v>45614</v>
      </c>
    </row>
    <row r="1296" spans="1:20" ht="26.45">
      <c r="A1296" s="47" t="s">
        <v>1325</v>
      </c>
      <c r="B1296" s="47" t="s">
        <v>8945</v>
      </c>
      <c r="C1296" s="48" t="s">
        <v>1326</v>
      </c>
      <c r="D1296" s="47" t="s">
        <v>1425</v>
      </c>
      <c r="E1296" s="47" t="s">
        <v>1481</v>
      </c>
      <c r="F1296" s="47"/>
      <c r="G1296" s="47" t="s">
        <v>1687</v>
      </c>
      <c r="H1296" s="47" t="s">
        <v>8946</v>
      </c>
      <c r="I1296" s="50" t="s">
        <v>8947</v>
      </c>
      <c r="J1296" s="50" t="s">
        <v>8948</v>
      </c>
      <c r="K1296" s="50" t="s">
        <v>1425</v>
      </c>
      <c r="L1296" s="50" t="s">
        <v>1474</v>
      </c>
      <c r="M1296" s="50" t="s">
        <v>8949</v>
      </c>
      <c r="N1296" s="50" t="s">
        <v>1629</v>
      </c>
      <c r="O1296" s="47" t="s">
        <v>8950</v>
      </c>
      <c r="P1296" s="47" t="s">
        <v>8951</v>
      </c>
      <c r="Q1296" s="47" t="s">
        <v>1463</v>
      </c>
      <c r="R1296" s="47" t="s">
        <v>1463</v>
      </c>
      <c r="S1296" s="43"/>
      <c r="T1296" s="49">
        <v>45293</v>
      </c>
    </row>
    <row r="1297" ht="0" hidden="1" customHeight="1"/>
  </sheetData>
  <autoFilter ref="A4:T4" xr:uid="{00000000-0009-0000-0000-000003000000}"/>
  <pageMargins left="1" right="1" top="1" bottom="1.25" header="1" footer="1"/>
  <pageSetup orientation="landscape" horizontalDpi="300" verticalDpi="300"/>
  <headerFooter alignWithMargins="0">
    <oddFooter>&amp;L&amp;"Arial,Regular"&amp;10 3/8/2024 9:38:24 PM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48"/>
  <sheetViews>
    <sheetView showGridLines="0" workbookViewId="0"/>
  </sheetViews>
  <sheetFormatPr defaultColWidth="8.85546875" defaultRowHeight="14.45"/>
  <cols>
    <col min="1" max="1" width="13.7109375" style="38" customWidth="1"/>
    <col min="2" max="2" width="27.28515625" style="38" customWidth="1"/>
    <col min="3" max="3" width="25.28515625" style="38" customWidth="1"/>
    <col min="4" max="4" width="13.7109375" style="38" customWidth="1"/>
    <col min="5" max="5" width="20.7109375" style="38" customWidth="1"/>
    <col min="6" max="11" width="20.28515625" style="38" customWidth="1"/>
    <col min="12" max="12" width="15.7109375" style="38" customWidth="1"/>
    <col min="13" max="13" width="4.5703125" style="38" customWidth="1"/>
    <col min="14" max="16" width="20.28515625" style="38" customWidth="1"/>
    <col min="17" max="17" width="22.28515625" style="38" customWidth="1"/>
    <col min="18" max="16384" width="8.85546875" style="38"/>
  </cols>
  <sheetData>
    <row r="1" spans="1:17" ht="28.9" customHeight="1">
      <c r="A1" s="55" t="s">
        <v>8952</v>
      </c>
    </row>
    <row r="2" spans="1:17" ht="21.6" customHeight="1">
      <c r="A2" s="39" t="s">
        <v>8953</v>
      </c>
    </row>
    <row r="3" spans="1:17" ht="21.6" customHeight="1">
      <c r="A3" s="39" t="s">
        <v>8954</v>
      </c>
    </row>
    <row r="4" spans="1:17" ht="21.6" customHeight="1">
      <c r="A4" s="39" t="s">
        <v>8955</v>
      </c>
    </row>
    <row r="5" spans="1:17" ht="3" customHeight="1"/>
    <row r="6" spans="1:17" ht="26.45">
      <c r="A6" s="40" t="s">
        <v>8956</v>
      </c>
      <c r="B6" s="42" t="s">
        <v>8957</v>
      </c>
      <c r="C6" s="42" t="s">
        <v>8958</v>
      </c>
      <c r="D6" s="40" t="s">
        <v>8959</v>
      </c>
      <c r="E6" s="41" t="s">
        <v>8960</v>
      </c>
      <c r="F6" s="52" t="s">
        <v>8961</v>
      </c>
      <c r="G6" s="52" t="s">
        <v>8962</v>
      </c>
      <c r="H6" s="52" t="s">
        <v>8963</v>
      </c>
      <c r="I6" s="52" t="s">
        <v>8964</v>
      </c>
      <c r="J6" s="52" t="s">
        <v>8965</v>
      </c>
      <c r="K6" s="52" t="s">
        <v>8966</v>
      </c>
      <c r="L6" s="52" t="s">
        <v>8967</v>
      </c>
      <c r="M6" s="43"/>
      <c r="N6" s="52" t="s">
        <v>8968</v>
      </c>
      <c r="O6" s="52" t="s">
        <v>8969</v>
      </c>
      <c r="P6" s="52" t="s">
        <v>8970</v>
      </c>
      <c r="Q6" s="52" t="s">
        <v>8971</v>
      </c>
    </row>
    <row r="7" spans="1:17" ht="26.45">
      <c r="A7" s="47">
        <v>2024</v>
      </c>
      <c r="B7" s="50" t="s">
        <v>1411</v>
      </c>
      <c r="C7" s="50" t="s">
        <v>8972</v>
      </c>
      <c r="D7" s="47" t="s">
        <v>526</v>
      </c>
      <c r="E7" s="48" t="s">
        <v>527</v>
      </c>
      <c r="F7" s="53">
        <v>41453.99</v>
      </c>
      <c r="G7" s="53">
        <v>0</v>
      </c>
      <c r="H7" s="53">
        <v>0</v>
      </c>
      <c r="I7" s="53">
        <v>0</v>
      </c>
      <c r="J7" s="53">
        <v>0</v>
      </c>
      <c r="K7" s="53">
        <v>0</v>
      </c>
      <c r="L7" s="53">
        <v>0</v>
      </c>
      <c r="M7" s="43"/>
      <c r="N7" s="53">
        <v>0</v>
      </c>
      <c r="O7" s="53">
        <v>0</v>
      </c>
      <c r="P7" s="53">
        <v>0</v>
      </c>
      <c r="Q7" s="53">
        <v>41453.99</v>
      </c>
    </row>
    <row r="8" spans="1:17" ht="26.45">
      <c r="A8" s="44">
        <v>2024</v>
      </c>
      <c r="B8" s="46" t="s">
        <v>1411</v>
      </c>
      <c r="C8" s="46" t="s">
        <v>8972</v>
      </c>
      <c r="D8" s="44" t="s">
        <v>49</v>
      </c>
      <c r="E8" s="45" t="s">
        <v>532</v>
      </c>
      <c r="F8" s="54">
        <v>114449.36</v>
      </c>
      <c r="G8" s="54">
        <v>0</v>
      </c>
      <c r="H8" s="54">
        <v>0</v>
      </c>
      <c r="I8" s="54">
        <v>0</v>
      </c>
      <c r="J8" s="54">
        <v>0</v>
      </c>
      <c r="K8" s="54">
        <v>0</v>
      </c>
      <c r="L8" s="54">
        <v>0</v>
      </c>
      <c r="M8" s="43"/>
      <c r="N8" s="54">
        <v>0</v>
      </c>
      <c r="O8" s="54">
        <v>0</v>
      </c>
      <c r="P8" s="54">
        <v>0</v>
      </c>
      <c r="Q8" s="54">
        <v>114449.36</v>
      </c>
    </row>
    <row r="9" spans="1:17" ht="26.45">
      <c r="A9" s="47">
        <v>2024</v>
      </c>
      <c r="B9" s="50" t="s">
        <v>1411</v>
      </c>
      <c r="C9" s="50" t="s">
        <v>8972</v>
      </c>
      <c r="D9" s="47" t="s">
        <v>533</v>
      </c>
      <c r="E9" s="48" t="s">
        <v>534</v>
      </c>
      <c r="F9" s="53">
        <v>20657.63</v>
      </c>
      <c r="G9" s="53">
        <v>0</v>
      </c>
      <c r="H9" s="53">
        <v>0</v>
      </c>
      <c r="I9" s="53">
        <v>0</v>
      </c>
      <c r="J9" s="53">
        <v>0</v>
      </c>
      <c r="K9" s="53">
        <v>0</v>
      </c>
      <c r="L9" s="53">
        <v>0</v>
      </c>
      <c r="M9" s="43"/>
      <c r="N9" s="53">
        <v>0</v>
      </c>
      <c r="O9" s="53">
        <v>0</v>
      </c>
      <c r="P9" s="53">
        <v>0</v>
      </c>
      <c r="Q9" s="53">
        <v>20657.63</v>
      </c>
    </row>
    <row r="10" spans="1:17" ht="39.6">
      <c r="A10" s="44">
        <v>2024</v>
      </c>
      <c r="B10" s="46" t="s">
        <v>1411</v>
      </c>
      <c r="C10" s="46" t="s">
        <v>8972</v>
      </c>
      <c r="D10" s="44" t="s">
        <v>50</v>
      </c>
      <c r="E10" s="45" t="s">
        <v>535</v>
      </c>
      <c r="F10" s="54">
        <v>1072575.1599999999</v>
      </c>
      <c r="G10" s="54">
        <v>0</v>
      </c>
      <c r="H10" s="54">
        <v>0</v>
      </c>
      <c r="I10" s="54">
        <v>0</v>
      </c>
      <c r="J10" s="54">
        <v>0</v>
      </c>
      <c r="K10" s="54">
        <v>0</v>
      </c>
      <c r="L10" s="54">
        <v>0</v>
      </c>
      <c r="M10" s="43"/>
      <c r="N10" s="54">
        <v>0</v>
      </c>
      <c r="O10" s="54">
        <v>0</v>
      </c>
      <c r="P10" s="54">
        <v>0</v>
      </c>
      <c r="Q10" s="54">
        <v>1072575.1599999999</v>
      </c>
    </row>
    <row r="11" spans="1:17" ht="39.6">
      <c r="A11" s="47">
        <v>2024</v>
      </c>
      <c r="B11" s="50" t="s">
        <v>1411</v>
      </c>
      <c r="C11" s="50" t="s">
        <v>8972</v>
      </c>
      <c r="D11" s="47" t="s">
        <v>51</v>
      </c>
      <c r="E11" s="48" t="s">
        <v>536</v>
      </c>
      <c r="F11" s="53">
        <v>186817.11</v>
      </c>
      <c r="G11" s="53">
        <v>0</v>
      </c>
      <c r="H11" s="53">
        <v>0</v>
      </c>
      <c r="I11" s="53">
        <v>0</v>
      </c>
      <c r="J11" s="53">
        <v>0</v>
      </c>
      <c r="K11" s="53">
        <v>0</v>
      </c>
      <c r="L11" s="53">
        <v>0</v>
      </c>
      <c r="M11" s="43"/>
      <c r="N11" s="53">
        <v>0</v>
      </c>
      <c r="O11" s="53">
        <v>0</v>
      </c>
      <c r="P11" s="53">
        <v>0</v>
      </c>
      <c r="Q11" s="53">
        <v>186817.11</v>
      </c>
    </row>
    <row r="12" spans="1:17" ht="39.6">
      <c r="A12" s="44">
        <v>2024</v>
      </c>
      <c r="B12" s="46" t="s">
        <v>1411</v>
      </c>
      <c r="C12" s="46" t="s">
        <v>8972</v>
      </c>
      <c r="D12" s="44" t="s">
        <v>52</v>
      </c>
      <c r="E12" s="45" t="s">
        <v>536</v>
      </c>
      <c r="F12" s="54">
        <v>131875.73000000001</v>
      </c>
      <c r="G12" s="54">
        <v>1522.8</v>
      </c>
      <c r="H12" s="54">
        <v>0</v>
      </c>
      <c r="I12" s="54">
        <v>0</v>
      </c>
      <c r="J12" s="54">
        <v>0</v>
      </c>
      <c r="K12" s="54">
        <v>0</v>
      </c>
      <c r="L12" s="54">
        <v>0</v>
      </c>
      <c r="M12" s="43"/>
      <c r="N12" s="54">
        <v>0</v>
      </c>
      <c r="O12" s="54">
        <v>0</v>
      </c>
      <c r="P12" s="54">
        <v>0</v>
      </c>
      <c r="Q12" s="54">
        <v>133398.53</v>
      </c>
    </row>
    <row r="13" spans="1:17" ht="26.45">
      <c r="A13" s="47">
        <v>2024</v>
      </c>
      <c r="B13" s="50" t="s">
        <v>1411</v>
      </c>
      <c r="C13" s="50" t="s">
        <v>8972</v>
      </c>
      <c r="D13" s="47" t="s">
        <v>53</v>
      </c>
      <c r="E13" s="48" t="s">
        <v>537</v>
      </c>
      <c r="F13" s="53">
        <v>78811.94</v>
      </c>
      <c r="G13" s="53">
        <v>0</v>
      </c>
      <c r="H13" s="53">
        <v>0</v>
      </c>
      <c r="I13" s="53">
        <v>0</v>
      </c>
      <c r="J13" s="53">
        <v>0</v>
      </c>
      <c r="K13" s="53">
        <v>0</v>
      </c>
      <c r="L13" s="53">
        <v>0</v>
      </c>
      <c r="M13" s="43"/>
      <c r="N13" s="53">
        <v>0</v>
      </c>
      <c r="O13" s="53">
        <v>0</v>
      </c>
      <c r="P13" s="53">
        <v>0</v>
      </c>
      <c r="Q13" s="53">
        <v>78811.94</v>
      </c>
    </row>
    <row r="14" spans="1:17" ht="39.6">
      <c r="A14" s="44">
        <v>2024</v>
      </c>
      <c r="B14" s="46" t="s">
        <v>1411</v>
      </c>
      <c r="C14" s="46" t="s">
        <v>8972</v>
      </c>
      <c r="D14" s="44" t="s">
        <v>538</v>
      </c>
      <c r="E14" s="45" t="s">
        <v>539</v>
      </c>
      <c r="F14" s="54">
        <v>31798.05</v>
      </c>
      <c r="G14" s="54">
        <v>0</v>
      </c>
      <c r="H14" s="54">
        <v>0</v>
      </c>
      <c r="I14" s="54">
        <v>0</v>
      </c>
      <c r="J14" s="54">
        <v>0</v>
      </c>
      <c r="K14" s="54">
        <v>0</v>
      </c>
      <c r="L14" s="54">
        <v>0</v>
      </c>
      <c r="M14" s="43"/>
      <c r="N14" s="54">
        <v>0</v>
      </c>
      <c r="O14" s="54">
        <v>0</v>
      </c>
      <c r="P14" s="54">
        <v>0</v>
      </c>
      <c r="Q14" s="54">
        <v>31798.05</v>
      </c>
    </row>
    <row r="15" spans="1:17" ht="26.45">
      <c r="A15" s="47">
        <v>2024</v>
      </c>
      <c r="B15" s="50" t="s">
        <v>1411</v>
      </c>
      <c r="C15" s="50" t="s">
        <v>8972</v>
      </c>
      <c r="D15" s="47" t="s">
        <v>54</v>
      </c>
      <c r="E15" s="48" t="s">
        <v>540</v>
      </c>
      <c r="F15" s="53">
        <v>52583.26</v>
      </c>
      <c r="G15" s="53">
        <v>3964.6</v>
      </c>
      <c r="H15" s="53">
        <v>0</v>
      </c>
      <c r="I15" s="53">
        <v>0</v>
      </c>
      <c r="J15" s="53">
        <v>0</v>
      </c>
      <c r="K15" s="53">
        <v>0</v>
      </c>
      <c r="L15" s="53">
        <v>0</v>
      </c>
      <c r="M15" s="43"/>
      <c r="N15" s="53">
        <v>0</v>
      </c>
      <c r="O15" s="53">
        <v>0</v>
      </c>
      <c r="P15" s="53">
        <v>0</v>
      </c>
      <c r="Q15" s="53">
        <v>56547.86</v>
      </c>
    </row>
    <row r="16" spans="1:17" ht="26.45">
      <c r="A16" s="44">
        <v>2024</v>
      </c>
      <c r="B16" s="46" t="s">
        <v>1411</v>
      </c>
      <c r="C16" s="46" t="s">
        <v>8972</v>
      </c>
      <c r="D16" s="44" t="s">
        <v>55</v>
      </c>
      <c r="E16" s="45" t="s">
        <v>541</v>
      </c>
      <c r="F16" s="54">
        <v>89454.27</v>
      </c>
      <c r="G16" s="54">
        <v>0</v>
      </c>
      <c r="H16" s="54">
        <v>0</v>
      </c>
      <c r="I16" s="54">
        <v>0</v>
      </c>
      <c r="J16" s="54">
        <v>0</v>
      </c>
      <c r="K16" s="54">
        <v>0</v>
      </c>
      <c r="L16" s="54">
        <v>0</v>
      </c>
      <c r="M16" s="43"/>
      <c r="N16" s="54">
        <v>0</v>
      </c>
      <c r="O16" s="54">
        <v>0</v>
      </c>
      <c r="P16" s="54">
        <v>0</v>
      </c>
      <c r="Q16" s="54">
        <v>89454.27</v>
      </c>
    </row>
    <row r="17" spans="1:17" ht="26.45">
      <c r="A17" s="47">
        <v>2024</v>
      </c>
      <c r="B17" s="50" t="s">
        <v>1411</v>
      </c>
      <c r="C17" s="50" t="s">
        <v>8972</v>
      </c>
      <c r="D17" s="47" t="s">
        <v>542</v>
      </c>
      <c r="E17" s="48" t="s">
        <v>543</v>
      </c>
      <c r="F17" s="53">
        <v>1578205.36</v>
      </c>
      <c r="G17" s="53">
        <v>684952.31</v>
      </c>
      <c r="H17" s="53">
        <v>0</v>
      </c>
      <c r="I17" s="53">
        <v>0</v>
      </c>
      <c r="J17" s="53">
        <v>0</v>
      </c>
      <c r="K17" s="53">
        <v>0</v>
      </c>
      <c r="L17" s="53">
        <v>0</v>
      </c>
      <c r="M17" s="43"/>
      <c r="N17" s="53">
        <v>0</v>
      </c>
      <c r="O17" s="53">
        <v>0</v>
      </c>
      <c r="P17" s="53">
        <v>0</v>
      </c>
      <c r="Q17" s="53">
        <v>2263157.67</v>
      </c>
    </row>
    <row r="18" spans="1:17" ht="26.45">
      <c r="A18" s="44">
        <v>2024</v>
      </c>
      <c r="B18" s="46" t="s">
        <v>1411</v>
      </c>
      <c r="C18" s="46" t="s">
        <v>8972</v>
      </c>
      <c r="D18" s="44" t="s">
        <v>56</v>
      </c>
      <c r="E18" s="45" t="s">
        <v>544</v>
      </c>
      <c r="F18" s="54">
        <v>40926.839999999997</v>
      </c>
      <c r="G18" s="54">
        <v>31513.439999999999</v>
      </c>
      <c r="H18" s="54">
        <v>0</v>
      </c>
      <c r="I18" s="54">
        <v>0</v>
      </c>
      <c r="J18" s="54">
        <v>0</v>
      </c>
      <c r="K18" s="54">
        <v>0</v>
      </c>
      <c r="L18" s="54">
        <v>0</v>
      </c>
      <c r="M18" s="43"/>
      <c r="N18" s="54">
        <v>0</v>
      </c>
      <c r="O18" s="54">
        <v>-10155.5</v>
      </c>
      <c r="P18" s="54">
        <v>0</v>
      </c>
      <c r="Q18" s="54">
        <v>62284.78</v>
      </c>
    </row>
    <row r="19" spans="1:17" ht="26.45">
      <c r="A19" s="47">
        <v>2024</v>
      </c>
      <c r="B19" s="50" t="s">
        <v>1411</v>
      </c>
      <c r="C19" s="50" t="s">
        <v>8972</v>
      </c>
      <c r="D19" s="47" t="s">
        <v>545</v>
      </c>
      <c r="E19" s="48" t="s">
        <v>546</v>
      </c>
      <c r="F19" s="53">
        <v>12200.91</v>
      </c>
      <c r="G19" s="53">
        <v>100</v>
      </c>
      <c r="H19" s="53">
        <v>0</v>
      </c>
      <c r="I19" s="53">
        <v>0</v>
      </c>
      <c r="J19" s="53">
        <v>0</v>
      </c>
      <c r="K19" s="53">
        <v>0</v>
      </c>
      <c r="L19" s="53">
        <v>0</v>
      </c>
      <c r="M19" s="43"/>
      <c r="N19" s="53">
        <v>0</v>
      </c>
      <c r="O19" s="53">
        <v>0</v>
      </c>
      <c r="P19" s="53">
        <v>0</v>
      </c>
      <c r="Q19" s="53">
        <v>12300.91</v>
      </c>
    </row>
    <row r="20" spans="1:17" ht="26.45">
      <c r="A20" s="44">
        <v>2024</v>
      </c>
      <c r="B20" s="46" t="s">
        <v>1411</v>
      </c>
      <c r="C20" s="46" t="s">
        <v>8972</v>
      </c>
      <c r="D20" s="44" t="s">
        <v>547</v>
      </c>
      <c r="E20" s="45" t="s">
        <v>548</v>
      </c>
      <c r="F20" s="54">
        <v>1842.55</v>
      </c>
      <c r="G20" s="54">
        <v>0</v>
      </c>
      <c r="H20" s="54">
        <v>0</v>
      </c>
      <c r="I20" s="54">
        <v>0</v>
      </c>
      <c r="J20" s="54">
        <v>0</v>
      </c>
      <c r="K20" s="54">
        <v>0</v>
      </c>
      <c r="L20" s="54">
        <v>0</v>
      </c>
      <c r="M20" s="43"/>
      <c r="N20" s="54">
        <v>0</v>
      </c>
      <c r="O20" s="54">
        <v>0</v>
      </c>
      <c r="P20" s="54">
        <v>0</v>
      </c>
      <c r="Q20" s="54">
        <v>1842.55</v>
      </c>
    </row>
    <row r="21" spans="1:17" ht="26.45">
      <c r="A21" s="47">
        <v>2024</v>
      </c>
      <c r="B21" s="50" t="s">
        <v>1411</v>
      </c>
      <c r="C21" s="50" t="s">
        <v>8972</v>
      </c>
      <c r="D21" s="47" t="s">
        <v>57</v>
      </c>
      <c r="E21" s="48" t="s">
        <v>549</v>
      </c>
      <c r="F21" s="53">
        <v>89341.38</v>
      </c>
      <c r="G21" s="53">
        <v>0</v>
      </c>
      <c r="H21" s="53">
        <v>0</v>
      </c>
      <c r="I21" s="53">
        <v>0</v>
      </c>
      <c r="J21" s="53">
        <v>0</v>
      </c>
      <c r="K21" s="53">
        <v>0</v>
      </c>
      <c r="L21" s="53">
        <v>0</v>
      </c>
      <c r="M21" s="43"/>
      <c r="N21" s="53">
        <v>0</v>
      </c>
      <c r="O21" s="53">
        <v>0</v>
      </c>
      <c r="P21" s="53">
        <v>0</v>
      </c>
      <c r="Q21" s="53">
        <v>89341.38</v>
      </c>
    </row>
    <row r="22" spans="1:17" ht="39.6">
      <c r="A22" s="44">
        <v>2024</v>
      </c>
      <c r="B22" s="46" t="s">
        <v>1411</v>
      </c>
      <c r="C22" s="46" t="s">
        <v>8972</v>
      </c>
      <c r="D22" s="44" t="s">
        <v>58</v>
      </c>
      <c r="E22" s="45" t="s">
        <v>550</v>
      </c>
      <c r="F22" s="54">
        <v>6988.77</v>
      </c>
      <c r="G22" s="54">
        <v>0</v>
      </c>
      <c r="H22" s="54">
        <v>0</v>
      </c>
      <c r="I22" s="54">
        <v>0</v>
      </c>
      <c r="J22" s="54">
        <v>0</v>
      </c>
      <c r="K22" s="54">
        <v>0</v>
      </c>
      <c r="L22" s="54">
        <v>-6988.77</v>
      </c>
      <c r="M22" s="43"/>
      <c r="N22" s="54">
        <v>0</v>
      </c>
      <c r="O22" s="54">
        <v>0</v>
      </c>
      <c r="P22" s="54">
        <v>0</v>
      </c>
      <c r="Q22" s="54">
        <v>0</v>
      </c>
    </row>
    <row r="23" spans="1:17" ht="39.6">
      <c r="A23" s="47">
        <v>2024</v>
      </c>
      <c r="B23" s="50" t="s">
        <v>1411</v>
      </c>
      <c r="C23" s="50" t="s">
        <v>8972</v>
      </c>
      <c r="D23" s="47" t="s">
        <v>551</v>
      </c>
      <c r="E23" s="48" t="s">
        <v>552</v>
      </c>
      <c r="F23" s="53">
        <v>6066.79</v>
      </c>
      <c r="G23" s="53">
        <v>0</v>
      </c>
      <c r="H23" s="53">
        <v>0</v>
      </c>
      <c r="I23" s="53">
        <v>0</v>
      </c>
      <c r="J23" s="53">
        <v>0</v>
      </c>
      <c r="K23" s="53">
        <v>0</v>
      </c>
      <c r="L23" s="53">
        <v>-6066.79</v>
      </c>
      <c r="M23" s="43"/>
      <c r="N23" s="53">
        <v>0</v>
      </c>
      <c r="O23" s="53">
        <v>0</v>
      </c>
      <c r="P23" s="53">
        <v>0</v>
      </c>
      <c r="Q23" s="53">
        <v>0</v>
      </c>
    </row>
    <row r="24" spans="1:17" ht="26.45">
      <c r="A24" s="44">
        <v>2024</v>
      </c>
      <c r="B24" s="46" t="s">
        <v>1411</v>
      </c>
      <c r="C24" s="46" t="s">
        <v>8972</v>
      </c>
      <c r="D24" s="44" t="s">
        <v>59</v>
      </c>
      <c r="E24" s="45" t="s">
        <v>553</v>
      </c>
      <c r="F24" s="54">
        <v>2449445.4700000002</v>
      </c>
      <c r="G24" s="54">
        <v>268893.83</v>
      </c>
      <c r="H24" s="54">
        <v>0</v>
      </c>
      <c r="I24" s="54">
        <v>0</v>
      </c>
      <c r="J24" s="54">
        <v>0</v>
      </c>
      <c r="K24" s="54">
        <v>0</v>
      </c>
      <c r="L24" s="54">
        <v>0</v>
      </c>
      <c r="M24" s="43"/>
      <c r="N24" s="54">
        <v>0</v>
      </c>
      <c r="O24" s="54">
        <v>0</v>
      </c>
      <c r="P24" s="54">
        <v>0</v>
      </c>
      <c r="Q24" s="54">
        <v>2718339.3</v>
      </c>
    </row>
    <row r="25" spans="1:17" ht="26.45">
      <c r="A25" s="47">
        <v>2024</v>
      </c>
      <c r="B25" s="50" t="s">
        <v>1411</v>
      </c>
      <c r="C25" s="50" t="s">
        <v>8972</v>
      </c>
      <c r="D25" s="47" t="s">
        <v>60</v>
      </c>
      <c r="E25" s="48" t="s">
        <v>554</v>
      </c>
      <c r="F25" s="53">
        <v>11661.38</v>
      </c>
      <c r="G25" s="53">
        <v>0</v>
      </c>
      <c r="H25" s="53">
        <v>0</v>
      </c>
      <c r="I25" s="53">
        <v>0</v>
      </c>
      <c r="J25" s="53">
        <v>0</v>
      </c>
      <c r="K25" s="53">
        <v>0</v>
      </c>
      <c r="L25" s="53">
        <v>0</v>
      </c>
      <c r="M25" s="43"/>
      <c r="N25" s="53">
        <v>0</v>
      </c>
      <c r="O25" s="53">
        <v>0</v>
      </c>
      <c r="P25" s="53">
        <v>0</v>
      </c>
      <c r="Q25" s="53">
        <v>11661.38</v>
      </c>
    </row>
    <row r="26" spans="1:17" ht="26.45">
      <c r="A26" s="44">
        <v>2024</v>
      </c>
      <c r="B26" s="46" t="s">
        <v>1411</v>
      </c>
      <c r="C26" s="46" t="s">
        <v>8972</v>
      </c>
      <c r="D26" s="44" t="s">
        <v>61</v>
      </c>
      <c r="E26" s="45" t="s">
        <v>555</v>
      </c>
      <c r="F26" s="54">
        <v>210196.93</v>
      </c>
      <c r="G26" s="54">
        <v>20899.240000000002</v>
      </c>
      <c r="H26" s="54">
        <v>0</v>
      </c>
      <c r="I26" s="54">
        <v>0</v>
      </c>
      <c r="J26" s="54">
        <v>0</v>
      </c>
      <c r="K26" s="54">
        <v>0</v>
      </c>
      <c r="L26" s="54">
        <v>0</v>
      </c>
      <c r="M26" s="43"/>
      <c r="N26" s="54">
        <v>0</v>
      </c>
      <c r="O26" s="54">
        <v>0</v>
      </c>
      <c r="P26" s="54">
        <v>0</v>
      </c>
      <c r="Q26" s="54">
        <v>231096.17</v>
      </c>
    </row>
    <row r="27" spans="1:17" ht="52.9">
      <c r="A27" s="47">
        <v>2024</v>
      </c>
      <c r="B27" s="50" t="s">
        <v>1411</v>
      </c>
      <c r="C27" s="50" t="s">
        <v>8972</v>
      </c>
      <c r="D27" s="47" t="s">
        <v>556</v>
      </c>
      <c r="E27" s="48" t="s">
        <v>557</v>
      </c>
      <c r="F27" s="53">
        <v>99750.67</v>
      </c>
      <c r="G27" s="53">
        <v>58333.13</v>
      </c>
      <c r="H27" s="53">
        <v>0</v>
      </c>
      <c r="I27" s="53">
        <v>0</v>
      </c>
      <c r="J27" s="53">
        <v>0</v>
      </c>
      <c r="K27" s="53">
        <v>0</v>
      </c>
      <c r="L27" s="53">
        <v>0</v>
      </c>
      <c r="M27" s="43"/>
      <c r="N27" s="53">
        <v>0</v>
      </c>
      <c r="O27" s="53">
        <v>0</v>
      </c>
      <c r="P27" s="53">
        <v>0</v>
      </c>
      <c r="Q27" s="53">
        <v>158083.79999999999</v>
      </c>
    </row>
    <row r="28" spans="1:17" ht="52.9">
      <c r="A28" s="44">
        <v>2024</v>
      </c>
      <c r="B28" s="46" t="s">
        <v>1411</v>
      </c>
      <c r="C28" s="46" t="s">
        <v>8972</v>
      </c>
      <c r="D28" s="44" t="s">
        <v>558</v>
      </c>
      <c r="E28" s="45" t="s">
        <v>559</v>
      </c>
      <c r="F28" s="54">
        <v>35918</v>
      </c>
      <c r="G28" s="54">
        <v>1431.92</v>
      </c>
      <c r="H28" s="54">
        <v>0</v>
      </c>
      <c r="I28" s="54">
        <v>0</v>
      </c>
      <c r="J28" s="54">
        <v>0</v>
      </c>
      <c r="K28" s="54">
        <v>0</v>
      </c>
      <c r="L28" s="54">
        <v>0</v>
      </c>
      <c r="M28" s="43"/>
      <c r="N28" s="54">
        <v>0</v>
      </c>
      <c r="O28" s="54">
        <v>0</v>
      </c>
      <c r="P28" s="54">
        <v>0</v>
      </c>
      <c r="Q28" s="54">
        <v>37349.919999999998</v>
      </c>
    </row>
    <row r="29" spans="1:17" ht="52.9">
      <c r="A29" s="47">
        <v>2024</v>
      </c>
      <c r="B29" s="50" t="s">
        <v>1411</v>
      </c>
      <c r="C29" s="50" t="s">
        <v>8972</v>
      </c>
      <c r="D29" s="47" t="s">
        <v>560</v>
      </c>
      <c r="E29" s="48" t="s">
        <v>561</v>
      </c>
      <c r="F29" s="53">
        <v>57451.16</v>
      </c>
      <c r="G29" s="53">
        <v>15572.7</v>
      </c>
      <c r="H29" s="53">
        <v>0</v>
      </c>
      <c r="I29" s="53">
        <v>0</v>
      </c>
      <c r="J29" s="53">
        <v>0</v>
      </c>
      <c r="K29" s="53">
        <v>0</v>
      </c>
      <c r="L29" s="53">
        <v>0</v>
      </c>
      <c r="M29" s="43"/>
      <c r="N29" s="53">
        <v>0</v>
      </c>
      <c r="O29" s="53">
        <v>0</v>
      </c>
      <c r="P29" s="53">
        <v>0</v>
      </c>
      <c r="Q29" s="53">
        <v>73023.86</v>
      </c>
    </row>
    <row r="30" spans="1:17" ht="52.9">
      <c r="A30" s="44">
        <v>2024</v>
      </c>
      <c r="B30" s="46" t="s">
        <v>1411</v>
      </c>
      <c r="C30" s="46" t="s">
        <v>8972</v>
      </c>
      <c r="D30" s="44" t="s">
        <v>562</v>
      </c>
      <c r="E30" s="45" t="s">
        <v>563</v>
      </c>
      <c r="F30" s="54">
        <v>53568.34</v>
      </c>
      <c r="G30" s="54">
        <v>0</v>
      </c>
      <c r="H30" s="54">
        <v>0</v>
      </c>
      <c r="I30" s="54">
        <v>0</v>
      </c>
      <c r="J30" s="54">
        <v>0</v>
      </c>
      <c r="K30" s="54">
        <v>0</v>
      </c>
      <c r="L30" s="54">
        <v>0</v>
      </c>
      <c r="M30" s="43"/>
      <c r="N30" s="54">
        <v>0</v>
      </c>
      <c r="O30" s="54">
        <v>0</v>
      </c>
      <c r="P30" s="54">
        <v>0</v>
      </c>
      <c r="Q30" s="54">
        <v>53568.34</v>
      </c>
    </row>
    <row r="31" spans="1:17" ht="52.9">
      <c r="A31" s="47">
        <v>2024</v>
      </c>
      <c r="B31" s="50" t="s">
        <v>1411</v>
      </c>
      <c r="C31" s="50" t="s">
        <v>8972</v>
      </c>
      <c r="D31" s="47" t="s">
        <v>564</v>
      </c>
      <c r="E31" s="48" t="s">
        <v>565</v>
      </c>
      <c r="F31" s="53">
        <v>32929.07</v>
      </c>
      <c r="G31" s="53">
        <v>10044.15</v>
      </c>
      <c r="H31" s="53">
        <v>0</v>
      </c>
      <c r="I31" s="53">
        <v>0</v>
      </c>
      <c r="J31" s="53">
        <v>0</v>
      </c>
      <c r="K31" s="53">
        <v>0</v>
      </c>
      <c r="L31" s="53">
        <v>0</v>
      </c>
      <c r="M31" s="43"/>
      <c r="N31" s="53">
        <v>0</v>
      </c>
      <c r="O31" s="53">
        <v>0</v>
      </c>
      <c r="P31" s="53">
        <v>0</v>
      </c>
      <c r="Q31" s="53">
        <v>42973.22</v>
      </c>
    </row>
    <row r="32" spans="1:17" ht="66">
      <c r="A32" s="44">
        <v>2024</v>
      </c>
      <c r="B32" s="46" t="s">
        <v>1411</v>
      </c>
      <c r="C32" s="46" t="s">
        <v>8972</v>
      </c>
      <c r="D32" s="44" t="s">
        <v>566</v>
      </c>
      <c r="E32" s="45" t="s">
        <v>567</v>
      </c>
      <c r="F32" s="54">
        <v>104123.57</v>
      </c>
      <c r="G32" s="54">
        <v>11263.1</v>
      </c>
      <c r="H32" s="54">
        <v>0</v>
      </c>
      <c r="I32" s="54">
        <v>0</v>
      </c>
      <c r="J32" s="54">
        <v>0</v>
      </c>
      <c r="K32" s="54">
        <v>0</v>
      </c>
      <c r="L32" s="54">
        <v>0</v>
      </c>
      <c r="M32" s="43"/>
      <c r="N32" s="54">
        <v>0</v>
      </c>
      <c r="O32" s="54">
        <v>0</v>
      </c>
      <c r="P32" s="54">
        <v>0</v>
      </c>
      <c r="Q32" s="54">
        <v>115386.67</v>
      </c>
    </row>
    <row r="33" spans="1:17" ht="52.9">
      <c r="A33" s="47">
        <v>2024</v>
      </c>
      <c r="B33" s="50" t="s">
        <v>1411</v>
      </c>
      <c r="C33" s="50" t="s">
        <v>8972</v>
      </c>
      <c r="D33" s="47" t="s">
        <v>568</v>
      </c>
      <c r="E33" s="48" t="s">
        <v>569</v>
      </c>
      <c r="F33" s="53">
        <v>103735.39</v>
      </c>
      <c r="G33" s="53">
        <v>13771.79</v>
      </c>
      <c r="H33" s="53">
        <v>0</v>
      </c>
      <c r="I33" s="53">
        <v>0</v>
      </c>
      <c r="J33" s="53">
        <v>0</v>
      </c>
      <c r="K33" s="53">
        <v>0</v>
      </c>
      <c r="L33" s="53">
        <v>0</v>
      </c>
      <c r="M33" s="43"/>
      <c r="N33" s="53">
        <v>0</v>
      </c>
      <c r="O33" s="53">
        <v>0</v>
      </c>
      <c r="P33" s="53">
        <v>0</v>
      </c>
      <c r="Q33" s="53">
        <v>117507.18</v>
      </c>
    </row>
    <row r="34" spans="1:17" ht="52.9">
      <c r="A34" s="44">
        <v>2024</v>
      </c>
      <c r="B34" s="46" t="s">
        <v>1411</v>
      </c>
      <c r="C34" s="46" t="s">
        <v>8972</v>
      </c>
      <c r="D34" s="44" t="s">
        <v>570</v>
      </c>
      <c r="E34" s="45" t="s">
        <v>571</v>
      </c>
      <c r="F34" s="54">
        <v>69579.05</v>
      </c>
      <c r="G34" s="54">
        <v>4917.58</v>
      </c>
      <c r="H34" s="54">
        <v>0</v>
      </c>
      <c r="I34" s="54">
        <v>0</v>
      </c>
      <c r="J34" s="54">
        <v>0</v>
      </c>
      <c r="K34" s="54">
        <v>0</v>
      </c>
      <c r="L34" s="54">
        <v>0</v>
      </c>
      <c r="M34" s="43"/>
      <c r="N34" s="54">
        <v>0</v>
      </c>
      <c r="O34" s="54">
        <v>0</v>
      </c>
      <c r="P34" s="54">
        <v>0</v>
      </c>
      <c r="Q34" s="54">
        <v>74496.63</v>
      </c>
    </row>
    <row r="35" spans="1:17" ht="52.9">
      <c r="A35" s="47">
        <v>2024</v>
      </c>
      <c r="B35" s="50" t="s">
        <v>1411</v>
      </c>
      <c r="C35" s="50" t="s">
        <v>8972</v>
      </c>
      <c r="D35" s="47" t="s">
        <v>572</v>
      </c>
      <c r="E35" s="48" t="s">
        <v>573</v>
      </c>
      <c r="F35" s="53">
        <v>79118.44</v>
      </c>
      <c r="G35" s="53">
        <v>6106.93</v>
      </c>
      <c r="H35" s="53">
        <v>0</v>
      </c>
      <c r="I35" s="53">
        <v>0</v>
      </c>
      <c r="J35" s="53">
        <v>0</v>
      </c>
      <c r="K35" s="53">
        <v>0</v>
      </c>
      <c r="L35" s="53">
        <v>0</v>
      </c>
      <c r="M35" s="43"/>
      <c r="N35" s="53">
        <v>0</v>
      </c>
      <c r="O35" s="53">
        <v>0</v>
      </c>
      <c r="P35" s="53">
        <v>0</v>
      </c>
      <c r="Q35" s="53">
        <v>85225.37</v>
      </c>
    </row>
    <row r="36" spans="1:17" ht="52.9">
      <c r="A36" s="44">
        <v>2024</v>
      </c>
      <c r="B36" s="46" t="s">
        <v>1411</v>
      </c>
      <c r="C36" s="46" t="s">
        <v>8972</v>
      </c>
      <c r="D36" s="44" t="s">
        <v>574</v>
      </c>
      <c r="E36" s="45" t="s">
        <v>575</v>
      </c>
      <c r="F36" s="54">
        <v>81628.19</v>
      </c>
      <c r="G36" s="54">
        <v>35200.239999999998</v>
      </c>
      <c r="H36" s="54">
        <v>0</v>
      </c>
      <c r="I36" s="54">
        <v>0</v>
      </c>
      <c r="J36" s="54">
        <v>0</v>
      </c>
      <c r="K36" s="54">
        <v>0</v>
      </c>
      <c r="L36" s="54">
        <v>0</v>
      </c>
      <c r="M36" s="43"/>
      <c r="N36" s="54">
        <v>0</v>
      </c>
      <c r="O36" s="54">
        <v>0</v>
      </c>
      <c r="P36" s="54">
        <v>0</v>
      </c>
      <c r="Q36" s="54">
        <v>116828.43</v>
      </c>
    </row>
    <row r="37" spans="1:17" ht="66">
      <c r="A37" s="47">
        <v>2024</v>
      </c>
      <c r="B37" s="50" t="s">
        <v>1411</v>
      </c>
      <c r="C37" s="50" t="s">
        <v>8972</v>
      </c>
      <c r="D37" s="47" t="s">
        <v>576</v>
      </c>
      <c r="E37" s="48" t="s">
        <v>577</v>
      </c>
      <c r="F37" s="53">
        <v>30400.06</v>
      </c>
      <c r="G37" s="53">
        <v>0</v>
      </c>
      <c r="H37" s="53">
        <v>0</v>
      </c>
      <c r="I37" s="53">
        <v>0</v>
      </c>
      <c r="J37" s="53">
        <v>0</v>
      </c>
      <c r="K37" s="53">
        <v>0</v>
      </c>
      <c r="L37" s="53">
        <v>0</v>
      </c>
      <c r="M37" s="43"/>
      <c r="N37" s="53">
        <v>0</v>
      </c>
      <c r="O37" s="53">
        <v>0</v>
      </c>
      <c r="P37" s="53">
        <v>0</v>
      </c>
      <c r="Q37" s="53">
        <v>30400.06</v>
      </c>
    </row>
    <row r="38" spans="1:17" ht="26.45">
      <c r="A38" s="44">
        <v>2024</v>
      </c>
      <c r="B38" s="46" t="s">
        <v>1411</v>
      </c>
      <c r="C38" s="46" t="s">
        <v>8972</v>
      </c>
      <c r="D38" s="44" t="s">
        <v>62</v>
      </c>
      <c r="E38" s="45" t="s">
        <v>578</v>
      </c>
      <c r="F38" s="54">
        <v>1852381.31</v>
      </c>
      <c r="G38" s="54">
        <v>392780.3</v>
      </c>
      <c r="H38" s="54">
        <v>0</v>
      </c>
      <c r="I38" s="54">
        <v>0</v>
      </c>
      <c r="J38" s="54">
        <v>0</v>
      </c>
      <c r="K38" s="54">
        <v>0</v>
      </c>
      <c r="L38" s="54">
        <v>0</v>
      </c>
      <c r="M38" s="43"/>
      <c r="N38" s="54">
        <v>0</v>
      </c>
      <c r="O38" s="54">
        <v>0</v>
      </c>
      <c r="P38" s="54">
        <v>0</v>
      </c>
      <c r="Q38" s="54">
        <v>2245161.61</v>
      </c>
    </row>
    <row r="39" spans="1:17" ht="26.45">
      <c r="A39" s="47">
        <v>2024</v>
      </c>
      <c r="B39" s="50" t="s">
        <v>1411</v>
      </c>
      <c r="C39" s="50" t="s">
        <v>8972</v>
      </c>
      <c r="D39" s="47" t="s">
        <v>63</v>
      </c>
      <c r="E39" s="48" t="s">
        <v>579</v>
      </c>
      <c r="F39" s="53">
        <v>2931072.03</v>
      </c>
      <c r="G39" s="53">
        <v>0</v>
      </c>
      <c r="H39" s="53">
        <v>0</v>
      </c>
      <c r="I39" s="53">
        <v>0</v>
      </c>
      <c r="J39" s="53">
        <v>0</v>
      </c>
      <c r="K39" s="53">
        <v>0</v>
      </c>
      <c r="L39" s="53">
        <v>0</v>
      </c>
      <c r="M39" s="43"/>
      <c r="N39" s="53">
        <v>0</v>
      </c>
      <c r="O39" s="53">
        <v>0</v>
      </c>
      <c r="P39" s="53">
        <v>0</v>
      </c>
      <c r="Q39" s="53">
        <v>2931072.03</v>
      </c>
    </row>
    <row r="40" spans="1:17" ht="26.45">
      <c r="A40" s="44">
        <v>2024</v>
      </c>
      <c r="B40" s="46" t="s">
        <v>1411</v>
      </c>
      <c r="C40" s="46" t="s">
        <v>8972</v>
      </c>
      <c r="D40" s="44" t="s">
        <v>580</v>
      </c>
      <c r="E40" s="45" t="s">
        <v>581</v>
      </c>
      <c r="F40" s="54">
        <v>50741.5</v>
      </c>
      <c r="G40" s="54">
        <v>14053.84</v>
      </c>
      <c r="H40" s="54">
        <v>0</v>
      </c>
      <c r="I40" s="54">
        <v>0</v>
      </c>
      <c r="J40" s="54">
        <v>0</v>
      </c>
      <c r="K40" s="54">
        <v>0</v>
      </c>
      <c r="L40" s="54">
        <v>0</v>
      </c>
      <c r="M40" s="43"/>
      <c r="N40" s="54">
        <v>0</v>
      </c>
      <c r="O40" s="54">
        <v>0</v>
      </c>
      <c r="P40" s="54">
        <v>0</v>
      </c>
      <c r="Q40" s="54">
        <v>64795.34</v>
      </c>
    </row>
    <row r="41" spans="1:17" ht="26.45">
      <c r="A41" s="47">
        <v>2024</v>
      </c>
      <c r="B41" s="50" t="s">
        <v>1411</v>
      </c>
      <c r="C41" s="50" t="s">
        <v>8972</v>
      </c>
      <c r="D41" s="47" t="s">
        <v>64</v>
      </c>
      <c r="E41" s="48" t="s">
        <v>582</v>
      </c>
      <c r="F41" s="53">
        <v>137902.01</v>
      </c>
      <c r="G41" s="53">
        <v>69350.320000000007</v>
      </c>
      <c r="H41" s="53">
        <v>0</v>
      </c>
      <c r="I41" s="53">
        <v>0</v>
      </c>
      <c r="J41" s="53">
        <v>0</v>
      </c>
      <c r="K41" s="53">
        <v>0</v>
      </c>
      <c r="L41" s="53">
        <v>0</v>
      </c>
      <c r="M41" s="43"/>
      <c r="N41" s="53">
        <v>0</v>
      </c>
      <c r="O41" s="53">
        <v>0</v>
      </c>
      <c r="P41" s="53">
        <v>0</v>
      </c>
      <c r="Q41" s="53">
        <v>207252.33</v>
      </c>
    </row>
    <row r="42" spans="1:17" ht="26.45">
      <c r="A42" s="44">
        <v>2024</v>
      </c>
      <c r="B42" s="46" t="s">
        <v>1411</v>
      </c>
      <c r="C42" s="46" t="s">
        <v>8972</v>
      </c>
      <c r="D42" s="44" t="s">
        <v>583</v>
      </c>
      <c r="E42" s="45" t="s">
        <v>584</v>
      </c>
      <c r="F42" s="54">
        <v>391.37</v>
      </c>
      <c r="G42" s="54">
        <v>0</v>
      </c>
      <c r="H42" s="54">
        <v>0</v>
      </c>
      <c r="I42" s="54">
        <v>0</v>
      </c>
      <c r="J42" s="54">
        <v>0</v>
      </c>
      <c r="K42" s="54">
        <v>0</v>
      </c>
      <c r="L42" s="54">
        <v>0</v>
      </c>
      <c r="M42" s="43"/>
      <c r="N42" s="54">
        <v>0</v>
      </c>
      <c r="O42" s="54">
        <v>0</v>
      </c>
      <c r="P42" s="54">
        <v>0</v>
      </c>
      <c r="Q42" s="54">
        <v>391.37</v>
      </c>
    </row>
    <row r="43" spans="1:17" ht="26.45">
      <c r="A43" s="47">
        <v>2024</v>
      </c>
      <c r="B43" s="50" t="s">
        <v>1411</v>
      </c>
      <c r="C43" s="50" t="s">
        <v>8972</v>
      </c>
      <c r="D43" s="47" t="s">
        <v>65</v>
      </c>
      <c r="E43" s="48" t="s">
        <v>585</v>
      </c>
      <c r="F43" s="53">
        <v>4598.03</v>
      </c>
      <c r="G43" s="53">
        <v>5225.55</v>
      </c>
      <c r="H43" s="53">
        <v>0</v>
      </c>
      <c r="I43" s="53">
        <v>0</v>
      </c>
      <c r="J43" s="53">
        <v>0</v>
      </c>
      <c r="K43" s="53">
        <v>0</v>
      </c>
      <c r="L43" s="53">
        <v>0</v>
      </c>
      <c r="M43" s="43"/>
      <c r="N43" s="53">
        <v>0</v>
      </c>
      <c r="O43" s="53">
        <v>0</v>
      </c>
      <c r="P43" s="53">
        <v>0</v>
      </c>
      <c r="Q43" s="53">
        <v>9823.58</v>
      </c>
    </row>
    <row r="44" spans="1:17" ht="26.45">
      <c r="A44" s="44">
        <v>2024</v>
      </c>
      <c r="B44" s="46" t="s">
        <v>1411</v>
      </c>
      <c r="C44" s="46" t="s">
        <v>8972</v>
      </c>
      <c r="D44" s="44" t="s">
        <v>66</v>
      </c>
      <c r="E44" s="45" t="s">
        <v>586</v>
      </c>
      <c r="F44" s="54">
        <v>785918.11</v>
      </c>
      <c r="G44" s="54">
        <v>0</v>
      </c>
      <c r="H44" s="54">
        <v>0</v>
      </c>
      <c r="I44" s="54">
        <v>0</v>
      </c>
      <c r="J44" s="54">
        <v>0</v>
      </c>
      <c r="K44" s="54">
        <v>0</v>
      </c>
      <c r="L44" s="54">
        <v>0</v>
      </c>
      <c r="M44" s="43"/>
      <c r="N44" s="54">
        <v>0</v>
      </c>
      <c r="O44" s="54">
        <v>0</v>
      </c>
      <c r="P44" s="54">
        <v>0</v>
      </c>
      <c r="Q44" s="54">
        <v>785918.11</v>
      </c>
    </row>
    <row r="45" spans="1:17" ht="26.45">
      <c r="A45" s="47">
        <v>2024</v>
      </c>
      <c r="B45" s="50" t="s">
        <v>1411</v>
      </c>
      <c r="C45" s="50" t="s">
        <v>8972</v>
      </c>
      <c r="D45" s="47" t="s">
        <v>67</v>
      </c>
      <c r="E45" s="48" t="s">
        <v>587</v>
      </c>
      <c r="F45" s="53">
        <v>38420.26</v>
      </c>
      <c r="G45" s="53">
        <v>0</v>
      </c>
      <c r="H45" s="53">
        <v>0</v>
      </c>
      <c r="I45" s="53">
        <v>0</v>
      </c>
      <c r="J45" s="53">
        <v>0</v>
      </c>
      <c r="K45" s="53">
        <v>0</v>
      </c>
      <c r="L45" s="53">
        <v>0</v>
      </c>
      <c r="M45" s="43"/>
      <c r="N45" s="53">
        <v>0</v>
      </c>
      <c r="O45" s="53">
        <v>0</v>
      </c>
      <c r="P45" s="53">
        <v>0</v>
      </c>
      <c r="Q45" s="53">
        <v>38420.26</v>
      </c>
    </row>
    <row r="46" spans="1:17" ht="26.45">
      <c r="A46" s="44">
        <v>2024</v>
      </c>
      <c r="B46" s="46" t="s">
        <v>1411</v>
      </c>
      <c r="C46" s="46" t="s">
        <v>8972</v>
      </c>
      <c r="D46" s="44" t="s">
        <v>68</v>
      </c>
      <c r="E46" s="45" t="s">
        <v>588</v>
      </c>
      <c r="F46" s="54">
        <v>10655.33</v>
      </c>
      <c r="G46" s="54">
        <v>2622.2</v>
      </c>
      <c r="H46" s="54">
        <v>0</v>
      </c>
      <c r="I46" s="54">
        <v>0</v>
      </c>
      <c r="J46" s="54">
        <v>0</v>
      </c>
      <c r="K46" s="54">
        <v>0</v>
      </c>
      <c r="L46" s="54">
        <v>0</v>
      </c>
      <c r="M46" s="43"/>
      <c r="N46" s="54">
        <v>0</v>
      </c>
      <c r="O46" s="54">
        <v>0</v>
      </c>
      <c r="P46" s="54">
        <v>0</v>
      </c>
      <c r="Q46" s="54">
        <v>13277.53</v>
      </c>
    </row>
    <row r="47" spans="1:17" ht="26.45">
      <c r="A47" s="47">
        <v>2024</v>
      </c>
      <c r="B47" s="50" t="s">
        <v>1411</v>
      </c>
      <c r="C47" s="50" t="s">
        <v>8972</v>
      </c>
      <c r="D47" s="47" t="s">
        <v>69</v>
      </c>
      <c r="E47" s="48" t="s">
        <v>589</v>
      </c>
      <c r="F47" s="53">
        <v>77723.460000000006</v>
      </c>
      <c r="G47" s="53">
        <v>0</v>
      </c>
      <c r="H47" s="53">
        <v>0</v>
      </c>
      <c r="I47" s="53">
        <v>0</v>
      </c>
      <c r="J47" s="53">
        <v>0</v>
      </c>
      <c r="K47" s="53">
        <v>0</v>
      </c>
      <c r="L47" s="53">
        <v>0</v>
      </c>
      <c r="M47" s="43"/>
      <c r="N47" s="53">
        <v>0</v>
      </c>
      <c r="O47" s="53">
        <v>0</v>
      </c>
      <c r="P47" s="53">
        <v>0</v>
      </c>
      <c r="Q47" s="53">
        <v>77723.460000000006</v>
      </c>
    </row>
    <row r="48" spans="1:17" ht="26.45">
      <c r="A48" s="44">
        <v>2024</v>
      </c>
      <c r="B48" s="46" t="s">
        <v>1411</v>
      </c>
      <c r="C48" s="46" t="s">
        <v>8972</v>
      </c>
      <c r="D48" s="44" t="s">
        <v>70</v>
      </c>
      <c r="E48" s="45" t="s">
        <v>590</v>
      </c>
      <c r="F48" s="54">
        <v>75374.89</v>
      </c>
      <c r="G48" s="54">
        <v>0</v>
      </c>
      <c r="H48" s="54">
        <v>0</v>
      </c>
      <c r="I48" s="54">
        <v>0</v>
      </c>
      <c r="J48" s="54">
        <v>0</v>
      </c>
      <c r="K48" s="54">
        <v>0</v>
      </c>
      <c r="L48" s="54">
        <v>0</v>
      </c>
      <c r="M48" s="43"/>
      <c r="N48" s="54">
        <v>0</v>
      </c>
      <c r="O48" s="54">
        <v>0</v>
      </c>
      <c r="P48" s="54">
        <v>0</v>
      </c>
      <c r="Q48" s="54">
        <v>75374.89</v>
      </c>
    </row>
    <row r="49" spans="1:17" ht="26.45">
      <c r="A49" s="47">
        <v>2024</v>
      </c>
      <c r="B49" s="50" t="s">
        <v>1411</v>
      </c>
      <c r="C49" s="50" t="s">
        <v>8972</v>
      </c>
      <c r="D49" s="47" t="s">
        <v>71</v>
      </c>
      <c r="E49" s="48" t="s">
        <v>591</v>
      </c>
      <c r="F49" s="53">
        <v>69672.95</v>
      </c>
      <c r="G49" s="53">
        <v>0</v>
      </c>
      <c r="H49" s="53">
        <v>0</v>
      </c>
      <c r="I49" s="53">
        <v>0</v>
      </c>
      <c r="J49" s="53">
        <v>0</v>
      </c>
      <c r="K49" s="53">
        <v>0</v>
      </c>
      <c r="L49" s="53">
        <v>0</v>
      </c>
      <c r="M49" s="43"/>
      <c r="N49" s="53">
        <v>0</v>
      </c>
      <c r="O49" s="53">
        <v>0</v>
      </c>
      <c r="P49" s="53">
        <v>0</v>
      </c>
      <c r="Q49" s="53">
        <v>69672.95</v>
      </c>
    </row>
    <row r="50" spans="1:17" ht="26.45">
      <c r="A50" s="44">
        <v>2024</v>
      </c>
      <c r="B50" s="46" t="s">
        <v>1411</v>
      </c>
      <c r="C50" s="46" t="s">
        <v>8972</v>
      </c>
      <c r="D50" s="44" t="s">
        <v>72</v>
      </c>
      <c r="E50" s="45" t="s">
        <v>592</v>
      </c>
      <c r="F50" s="54">
        <v>78119.69</v>
      </c>
      <c r="G50" s="54">
        <v>0.63</v>
      </c>
      <c r="H50" s="54">
        <v>0</v>
      </c>
      <c r="I50" s="54">
        <v>0</v>
      </c>
      <c r="J50" s="54">
        <v>0</v>
      </c>
      <c r="K50" s="54">
        <v>0</v>
      </c>
      <c r="L50" s="54">
        <v>0</v>
      </c>
      <c r="M50" s="43"/>
      <c r="N50" s="54">
        <v>0</v>
      </c>
      <c r="O50" s="54">
        <v>0</v>
      </c>
      <c r="P50" s="54">
        <v>0</v>
      </c>
      <c r="Q50" s="54">
        <v>78120.320000000007</v>
      </c>
    </row>
    <row r="51" spans="1:17" ht="26.45">
      <c r="A51" s="47">
        <v>2024</v>
      </c>
      <c r="B51" s="50" t="s">
        <v>1411</v>
      </c>
      <c r="C51" s="50" t="s">
        <v>8972</v>
      </c>
      <c r="D51" s="47" t="s">
        <v>73</v>
      </c>
      <c r="E51" s="48" t="s">
        <v>593</v>
      </c>
      <c r="F51" s="53">
        <v>102581.09</v>
      </c>
      <c r="G51" s="53">
        <v>0</v>
      </c>
      <c r="H51" s="53">
        <v>0</v>
      </c>
      <c r="I51" s="53">
        <v>0</v>
      </c>
      <c r="J51" s="53">
        <v>0</v>
      </c>
      <c r="K51" s="53">
        <v>0</v>
      </c>
      <c r="L51" s="53">
        <v>0</v>
      </c>
      <c r="M51" s="43"/>
      <c r="N51" s="53">
        <v>0</v>
      </c>
      <c r="O51" s="53">
        <v>0</v>
      </c>
      <c r="P51" s="53">
        <v>0</v>
      </c>
      <c r="Q51" s="53">
        <v>102581.09</v>
      </c>
    </row>
    <row r="52" spans="1:17" ht="26.45">
      <c r="A52" s="44">
        <v>2024</v>
      </c>
      <c r="B52" s="46" t="s">
        <v>1411</v>
      </c>
      <c r="C52" s="46" t="s">
        <v>8972</v>
      </c>
      <c r="D52" s="44" t="s">
        <v>74</v>
      </c>
      <c r="E52" s="45" t="s">
        <v>594</v>
      </c>
      <c r="F52" s="54">
        <v>113654.07</v>
      </c>
      <c r="G52" s="54">
        <v>0</v>
      </c>
      <c r="H52" s="54">
        <v>0</v>
      </c>
      <c r="I52" s="54">
        <v>0</v>
      </c>
      <c r="J52" s="54">
        <v>0</v>
      </c>
      <c r="K52" s="54">
        <v>0</v>
      </c>
      <c r="L52" s="54">
        <v>0</v>
      </c>
      <c r="M52" s="43"/>
      <c r="N52" s="54">
        <v>0</v>
      </c>
      <c r="O52" s="54">
        <v>0</v>
      </c>
      <c r="P52" s="54">
        <v>0</v>
      </c>
      <c r="Q52" s="54">
        <v>113654.07</v>
      </c>
    </row>
    <row r="53" spans="1:17" ht="26.45">
      <c r="A53" s="47">
        <v>2024</v>
      </c>
      <c r="B53" s="50" t="s">
        <v>1411</v>
      </c>
      <c r="C53" s="50" t="s">
        <v>8972</v>
      </c>
      <c r="D53" s="47" t="s">
        <v>75</v>
      </c>
      <c r="E53" s="48" t="s">
        <v>595</v>
      </c>
      <c r="F53" s="53">
        <v>144430.47</v>
      </c>
      <c r="G53" s="53">
        <v>0</v>
      </c>
      <c r="H53" s="53">
        <v>0</v>
      </c>
      <c r="I53" s="53">
        <v>0</v>
      </c>
      <c r="J53" s="53">
        <v>0</v>
      </c>
      <c r="K53" s="53">
        <v>0</v>
      </c>
      <c r="L53" s="53">
        <v>0</v>
      </c>
      <c r="M53" s="43"/>
      <c r="N53" s="53">
        <v>0</v>
      </c>
      <c r="O53" s="53">
        <v>0</v>
      </c>
      <c r="P53" s="53">
        <v>0</v>
      </c>
      <c r="Q53" s="53">
        <v>144430.47</v>
      </c>
    </row>
    <row r="54" spans="1:17" ht="26.45">
      <c r="A54" s="44">
        <v>2024</v>
      </c>
      <c r="B54" s="46" t="s">
        <v>1411</v>
      </c>
      <c r="C54" s="46" t="s">
        <v>8972</v>
      </c>
      <c r="D54" s="44" t="s">
        <v>76</v>
      </c>
      <c r="E54" s="45" t="s">
        <v>596</v>
      </c>
      <c r="F54" s="54">
        <v>40341.29</v>
      </c>
      <c r="G54" s="54">
        <v>0</v>
      </c>
      <c r="H54" s="54">
        <v>0</v>
      </c>
      <c r="I54" s="54">
        <v>0</v>
      </c>
      <c r="J54" s="54">
        <v>0</v>
      </c>
      <c r="K54" s="54">
        <v>0</v>
      </c>
      <c r="L54" s="54">
        <v>0</v>
      </c>
      <c r="M54" s="43"/>
      <c r="N54" s="54">
        <v>0</v>
      </c>
      <c r="O54" s="54">
        <v>0</v>
      </c>
      <c r="P54" s="54">
        <v>0</v>
      </c>
      <c r="Q54" s="54">
        <v>40341.29</v>
      </c>
    </row>
    <row r="55" spans="1:17" ht="26.45">
      <c r="A55" s="47">
        <v>2024</v>
      </c>
      <c r="B55" s="50" t="s">
        <v>1411</v>
      </c>
      <c r="C55" s="50" t="s">
        <v>8972</v>
      </c>
      <c r="D55" s="47" t="s">
        <v>77</v>
      </c>
      <c r="E55" s="48" t="s">
        <v>596</v>
      </c>
      <c r="F55" s="53">
        <v>125599.83</v>
      </c>
      <c r="G55" s="53">
        <v>30417.81</v>
      </c>
      <c r="H55" s="53">
        <v>0</v>
      </c>
      <c r="I55" s="53">
        <v>0</v>
      </c>
      <c r="J55" s="53">
        <v>0</v>
      </c>
      <c r="K55" s="53">
        <v>0</v>
      </c>
      <c r="L55" s="53">
        <v>0</v>
      </c>
      <c r="M55" s="43"/>
      <c r="N55" s="53">
        <v>0</v>
      </c>
      <c r="O55" s="53">
        <v>0</v>
      </c>
      <c r="P55" s="53">
        <v>0</v>
      </c>
      <c r="Q55" s="53">
        <v>156017.64000000001</v>
      </c>
    </row>
    <row r="56" spans="1:17" ht="26.45">
      <c r="A56" s="44">
        <v>2024</v>
      </c>
      <c r="B56" s="46" t="s">
        <v>1411</v>
      </c>
      <c r="C56" s="46" t="s">
        <v>8972</v>
      </c>
      <c r="D56" s="44" t="s">
        <v>78</v>
      </c>
      <c r="E56" s="45" t="s">
        <v>597</v>
      </c>
      <c r="F56" s="54">
        <v>102047</v>
      </c>
      <c r="G56" s="54">
        <v>0</v>
      </c>
      <c r="H56" s="54">
        <v>0</v>
      </c>
      <c r="I56" s="54">
        <v>0</v>
      </c>
      <c r="J56" s="54">
        <v>0</v>
      </c>
      <c r="K56" s="54">
        <v>0</v>
      </c>
      <c r="L56" s="54">
        <v>0</v>
      </c>
      <c r="M56" s="43"/>
      <c r="N56" s="54">
        <v>0</v>
      </c>
      <c r="O56" s="54">
        <v>0</v>
      </c>
      <c r="P56" s="54">
        <v>0</v>
      </c>
      <c r="Q56" s="54">
        <v>102047</v>
      </c>
    </row>
    <row r="57" spans="1:17" ht="26.45">
      <c r="A57" s="47">
        <v>2024</v>
      </c>
      <c r="B57" s="50" t="s">
        <v>1411</v>
      </c>
      <c r="C57" s="50" t="s">
        <v>8972</v>
      </c>
      <c r="D57" s="47" t="s">
        <v>598</v>
      </c>
      <c r="E57" s="48" t="s">
        <v>599</v>
      </c>
      <c r="F57" s="53">
        <v>78336.23</v>
      </c>
      <c r="G57" s="53">
        <v>1964.42</v>
      </c>
      <c r="H57" s="53">
        <v>0</v>
      </c>
      <c r="I57" s="53">
        <v>0</v>
      </c>
      <c r="J57" s="53">
        <v>0</v>
      </c>
      <c r="K57" s="53">
        <v>0</v>
      </c>
      <c r="L57" s="53">
        <v>0</v>
      </c>
      <c r="M57" s="43"/>
      <c r="N57" s="53">
        <v>0</v>
      </c>
      <c r="O57" s="53">
        <v>0</v>
      </c>
      <c r="P57" s="53">
        <v>0</v>
      </c>
      <c r="Q57" s="53">
        <v>80300.649999999994</v>
      </c>
    </row>
    <row r="58" spans="1:17" ht="26.45">
      <c r="A58" s="44">
        <v>2024</v>
      </c>
      <c r="B58" s="46" t="s">
        <v>1411</v>
      </c>
      <c r="C58" s="46" t="s">
        <v>8972</v>
      </c>
      <c r="D58" s="44" t="s">
        <v>600</v>
      </c>
      <c r="E58" s="45" t="s">
        <v>601</v>
      </c>
      <c r="F58" s="54">
        <v>24882.1</v>
      </c>
      <c r="G58" s="54">
        <v>4447.26</v>
      </c>
      <c r="H58" s="54">
        <v>0</v>
      </c>
      <c r="I58" s="54">
        <v>0</v>
      </c>
      <c r="J58" s="54">
        <v>0</v>
      </c>
      <c r="K58" s="54">
        <v>0</v>
      </c>
      <c r="L58" s="54">
        <v>0</v>
      </c>
      <c r="M58" s="43"/>
      <c r="N58" s="54">
        <v>0</v>
      </c>
      <c r="O58" s="54">
        <v>0</v>
      </c>
      <c r="P58" s="54">
        <v>0</v>
      </c>
      <c r="Q58" s="54">
        <v>29329.360000000001</v>
      </c>
    </row>
    <row r="59" spans="1:17" ht="26.45">
      <c r="A59" s="47">
        <v>2024</v>
      </c>
      <c r="B59" s="50" t="s">
        <v>1411</v>
      </c>
      <c r="C59" s="50" t="s">
        <v>8972</v>
      </c>
      <c r="D59" s="47" t="s">
        <v>602</v>
      </c>
      <c r="E59" s="48" t="s">
        <v>603</v>
      </c>
      <c r="F59" s="53">
        <v>53786.720000000001</v>
      </c>
      <c r="G59" s="53">
        <v>104070.75</v>
      </c>
      <c r="H59" s="53">
        <v>0</v>
      </c>
      <c r="I59" s="53">
        <v>0</v>
      </c>
      <c r="J59" s="53">
        <v>0</v>
      </c>
      <c r="K59" s="53">
        <v>0</v>
      </c>
      <c r="L59" s="53">
        <v>0</v>
      </c>
      <c r="M59" s="43"/>
      <c r="N59" s="53">
        <v>0</v>
      </c>
      <c r="O59" s="53">
        <v>-38403.85</v>
      </c>
      <c r="P59" s="53">
        <v>0</v>
      </c>
      <c r="Q59" s="53">
        <v>119453.62</v>
      </c>
    </row>
    <row r="60" spans="1:17" ht="26.45">
      <c r="A60" s="44">
        <v>2024</v>
      </c>
      <c r="B60" s="46" t="s">
        <v>1411</v>
      </c>
      <c r="C60" s="46" t="s">
        <v>8972</v>
      </c>
      <c r="D60" s="44" t="s">
        <v>604</v>
      </c>
      <c r="E60" s="45" t="s">
        <v>603</v>
      </c>
      <c r="F60" s="54">
        <v>42937.33</v>
      </c>
      <c r="G60" s="54">
        <v>15463.79</v>
      </c>
      <c r="H60" s="54">
        <v>0</v>
      </c>
      <c r="I60" s="54">
        <v>0</v>
      </c>
      <c r="J60" s="54">
        <v>0</v>
      </c>
      <c r="K60" s="54">
        <v>0</v>
      </c>
      <c r="L60" s="54">
        <v>0</v>
      </c>
      <c r="M60" s="43"/>
      <c r="N60" s="54">
        <v>0</v>
      </c>
      <c r="O60" s="54">
        <v>0</v>
      </c>
      <c r="P60" s="54">
        <v>0</v>
      </c>
      <c r="Q60" s="54">
        <v>58401.120000000003</v>
      </c>
    </row>
    <row r="61" spans="1:17" ht="26.45">
      <c r="A61" s="47">
        <v>2024</v>
      </c>
      <c r="B61" s="50" t="s">
        <v>1411</v>
      </c>
      <c r="C61" s="50" t="s">
        <v>8972</v>
      </c>
      <c r="D61" s="47" t="s">
        <v>606</v>
      </c>
      <c r="E61" s="48" t="s">
        <v>603</v>
      </c>
      <c r="F61" s="53">
        <v>68111.509999999995</v>
      </c>
      <c r="G61" s="53">
        <v>43581.29</v>
      </c>
      <c r="H61" s="53">
        <v>0</v>
      </c>
      <c r="I61" s="53">
        <v>0</v>
      </c>
      <c r="J61" s="53">
        <v>0</v>
      </c>
      <c r="K61" s="53">
        <v>0</v>
      </c>
      <c r="L61" s="53">
        <v>0</v>
      </c>
      <c r="M61" s="43"/>
      <c r="N61" s="53">
        <v>0</v>
      </c>
      <c r="O61" s="53">
        <v>0</v>
      </c>
      <c r="P61" s="53">
        <v>0</v>
      </c>
      <c r="Q61" s="53">
        <v>111692.8</v>
      </c>
    </row>
    <row r="62" spans="1:17" ht="26.45">
      <c r="A62" s="44">
        <v>2024</v>
      </c>
      <c r="B62" s="46" t="s">
        <v>1411</v>
      </c>
      <c r="C62" s="46" t="s">
        <v>8972</v>
      </c>
      <c r="D62" s="44" t="s">
        <v>605</v>
      </c>
      <c r="E62" s="45" t="s">
        <v>603</v>
      </c>
      <c r="F62" s="54">
        <v>47728.41</v>
      </c>
      <c r="G62" s="54">
        <v>44811.22</v>
      </c>
      <c r="H62" s="54">
        <v>0</v>
      </c>
      <c r="I62" s="54">
        <v>0</v>
      </c>
      <c r="J62" s="54">
        <v>0</v>
      </c>
      <c r="K62" s="54">
        <v>0</v>
      </c>
      <c r="L62" s="54">
        <v>0</v>
      </c>
      <c r="M62" s="43"/>
      <c r="N62" s="54">
        <v>0</v>
      </c>
      <c r="O62" s="54">
        <v>0</v>
      </c>
      <c r="P62" s="54">
        <v>0</v>
      </c>
      <c r="Q62" s="54">
        <v>92539.63</v>
      </c>
    </row>
    <row r="63" spans="1:17" ht="26.45">
      <c r="A63" s="47">
        <v>2024</v>
      </c>
      <c r="B63" s="50" t="s">
        <v>1411</v>
      </c>
      <c r="C63" s="50" t="s">
        <v>8972</v>
      </c>
      <c r="D63" s="47" t="s">
        <v>79</v>
      </c>
      <c r="E63" s="48" t="s">
        <v>607</v>
      </c>
      <c r="F63" s="53">
        <v>149083.99</v>
      </c>
      <c r="G63" s="53">
        <v>781.75</v>
      </c>
      <c r="H63" s="53">
        <v>0</v>
      </c>
      <c r="I63" s="53">
        <v>0</v>
      </c>
      <c r="J63" s="53">
        <v>0</v>
      </c>
      <c r="K63" s="53">
        <v>0</v>
      </c>
      <c r="L63" s="53">
        <v>0</v>
      </c>
      <c r="M63" s="43"/>
      <c r="N63" s="53">
        <v>0</v>
      </c>
      <c r="O63" s="53">
        <v>0</v>
      </c>
      <c r="P63" s="53">
        <v>0</v>
      </c>
      <c r="Q63" s="53">
        <v>149865.74</v>
      </c>
    </row>
    <row r="64" spans="1:17" ht="26.45">
      <c r="A64" s="44">
        <v>2024</v>
      </c>
      <c r="B64" s="46" t="s">
        <v>1411</v>
      </c>
      <c r="C64" s="46" t="s">
        <v>8972</v>
      </c>
      <c r="D64" s="44" t="s">
        <v>608</v>
      </c>
      <c r="E64" s="45" t="s">
        <v>609</v>
      </c>
      <c r="F64" s="54">
        <v>20675.52</v>
      </c>
      <c r="G64" s="54">
        <v>0</v>
      </c>
      <c r="H64" s="54">
        <v>0</v>
      </c>
      <c r="I64" s="54">
        <v>0</v>
      </c>
      <c r="J64" s="54">
        <v>0</v>
      </c>
      <c r="K64" s="54">
        <v>0</v>
      </c>
      <c r="L64" s="54">
        <v>0</v>
      </c>
      <c r="M64" s="43"/>
      <c r="N64" s="54">
        <v>0</v>
      </c>
      <c r="O64" s="54">
        <v>0</v>
      </c>
      <c r="P64" s="54">
        <v>0</v>
      </c>
      <c r="Q64" s="54">
        <v>20675.52</v>
      </c>
    </row>
    <row r="65" spans="1:17" ht="26.45">
      <c r="A65" s="47">
        <v>2024</v>
      </c>
      <c r="B65" s="50" t="s">
        <v>1411</v>
      </c>
      <c r="C65" s="50" t="s">
        <v>8972</v>
      </c>
      <c r="D65" s="47" t="s">
        <v>80</v>
      </c>
      <c r="E65" s="48" t="s">
        <v>610</v>
      </c>
      <c r="F65" s="53">
        <v>14092.31</v>
      </c>
      <c r="G65" s="53">
        <v>0</v>
      </c>
      <c r="H65" s="53">
        <v>0</v>
      </c>
      <c r="I65" s="53">
        <v>0</v>
      </c>
      <c r="J65" s="53">
        <v>0</v>
      </c>
      <c r="K65" s="53">
        <v>0</v>
      </c>
      <c r="L65" s="53">
        <v>0</v>
      </c>
      <c r="M65" s="43"/>
      <c r="N65" s="53">
        <v>0</v>
      </c>
      <c r="O65" s="53">
        <v>0</v>
      </c>
      <c r="P65" s="53">
        <v>0</v>
      </c>
      <c r="Q65" s="53">
        <v>14092.31</v>
      </c>
    </row>
    <row r="66" spans="1:17" ht="39.6">
      <c r="A66" s="44">
        <v>2024</v>
      </c>
      <c r="B66" s="46" t="s">
        <v>1411</v>
      </c>
      <c r="C66" s="46" t="s">
        <v>8972</v>
      </c>
      <c r="D66" s="44" t="s">
        <v>81</v>
      </c>
      <c r="E66" s="45" t="s">
        <v>611</v>
      </c>
      <c r="F66" s="54">
        <v>353718.04</v>
      </c>
      <c r="G66" s="54">
        <v>0</v>
      </c>
      <c r="H66" s="54">
        <v>0</v>
      </c>
      <c r="I66" s="54">
        <v>0</v>
      </c>
      <c r="J66" s="54">
        <v>0</v>
      </c>
      <c r="K66" s="54">
        <v>0</v>
      </c>
      <c r="L66" s="54">
        <v>0</v>
      </c>
      <c r="M66" s="43"/>
      <c r="N66" s="54">
        <v>0</v>
      </c>
      <c r="O66" s="54">
        <v>0</v>
      </c>
      <c r="P66" s="54">
        <v>0</v>
      </c>
      <c r="Q66" s="54">
        <v>353718.04</v>
      </c>
    </row>
    <row r="67" spans="1:17" ht="39.6">
      <c r="A67" s="47">
        <v>2024</v>
      </c>
      <c r="B67" s="50" t="s">
        <v>1411</v>
      </c>
      <c r="C67" s="50" t="s">
        <v>8972</v>
      </c>
      <c r="D67" s="47" t="s">
        <v>82</v>
      </c>
      <c r="E67" s="48" t="s">
        <v>612</v>
      </c>
      <c r="F67" s="53">
        <v>382962.32</v>
      </c>
      <c r="G67" s="53">
        <v>0</v>
      </c>
      <c r="H67" s="53">
        <v>0</v>
      </c>
      <c r="I67" s="53">
        <v>0</v>
      </c>
      <c r="J67" s="53">
        <v>0</v>
      </c>
      <c r="K67" s="53">
        <v>0</v>
      </c>
      <c r="L67" s="53">
        <v>0</v>
      </c>
      <c r="M67" s="43"/>
      <c r="N67" s="53">
        <v>0</v>
      </c>
      <c r="O67" s="53">
        <v>0</v>
      </c>
      <c r="P67" s="53">
        <v>0</v>
      </c>
      <c r="Q67" s="53">
        <v>382962.32</v>
      </c>
    </row>
    <row r="68" spans="1:17" ht="26.45">
      <c r="A68" s="44">
        <v>2024</v>
      </c>
      <c r="B68" s="46" t="s">
        <v>1411</v>
      </c>
      <c r="C68" s="46" t="s">
        <v>8972</v>
      </c>
      <c r="D68" s="44" t="s">
        <v>613</v>
      </c>
      <c r="E68" s="45" t="s">
        <v>614</v>
      </c>
      <c r="F68" s="54">
        <v>82188.09</v>
      </c>
      <c r="G68" s="54">
        <v>76475.05</v>
      </c>
      <c r="H68" s="54">
        <v>0</v>
      </c>
      <c r="I68" s="54">
        <v>0</v>
      </c>
      <c r="J68" s="54">
        <v>0</v>
      </c>
      <c r="K68" s="54">
        <v>0</v>
      </c>
      <c r="L68" s="54">
        <v>0</v>
      </c>
      <c r="M68" s="43"/>
      <c r="N68" s="54">
        <v>0</v>
      </c>
      <c r="O68" s="54">
        <v>0</v>
      </c>
      <c r="P68" s="54">
        <v>0</v>
      </c>
      <c r="Q68" s="54">
        <v>158663.14000000001</v>
      </c>
    </row>
    <row r="69" spans="1:17" ht="26.45">
      <c r="A69" s="47">
        <v>2024</v>
      </c>
      <c r="B69" s="50" t="s">
        <v>1411</v>
      </c>
      <c r="C69" s="50" t="s">
        <v>8972</v>
      </c>
      <c r="D69" s="47" t="s">
        <v>615</v>
      </c>
      <c r="E69" s="48" t="s">
        <v>616</v>
      </c>
      <c r="F69" s="53">
        <v>0</v>
      </c>
      <c r="G69" s="53">
        <v>0</v>
      </c>
      <c r="H69" s="53">
        <v>0</v>
      </c>
      <c r="I69" s="53">
        <v>0</v>
      </c>
      <c r="J69" s="53">
        <v>0</v>
      </c>
      <c r="K69" s="53">
        <v>0</v>
      </c>
      <c r="L69" s="53">
        <v>0</v>
      </c>
      <c r="M69" s="43"/>
      <c r="N69" s="53">
        <v>0</v>
      </c>
      <c r="O69" s="53">
        <v>0</v>
      </c>
      <c r="P69" s="53">
        <v>0</v>
      </c>
      <c r="Q69" s="53">
        <v>0</v>
      </c>
    </row>
    <row r="70" spans="1:17" ht="26.45">
      <c r="A70" s="44">
        <v>2024</v>
      </c>
      <c r="B70" s="46" t="s">
        <v>1411</v>
      </c>
      <c r="C70" s="46" t="s">
        <v>8972</v>
      </c>
      <c r="D70" s="44" t="s">
        <v>83</v>
      </c>
      <c r="E70" s="45" t="s">
        <v>617</v>
      </c>
      <c r="F70" s="54">
        <v>171384.92</v>
      </c>
      <c r="G70" s="54">
        <v>0</v>
      </c>
      <c r="H70" s="54">
        <v>0</v>
      </c>
      <c r="I70" s="54">
        <v>0</v>
      </c>
      <c r="J70" s="54">
        <v>0</v>
      </c>
      <c r="K70" s="54">
        <v>0</v>
      </c>
      <c r="L70" s="54">
        <v>0</v>
      </c>
      <c r="M70" s="43"/>
      <c r="N70" s="54">
        <v>0</v>
      </c>
      <c r="O70" s="54">
        <v>0</v>
      </c>
      <c r="P70" s="54">
        <v>0</v>
      </c>
      <c r="Q70" s="54">
        <v>171384.92</v>
      </c>
    </row>
    <row r="71" spans="1:17" ht="26.45">
      <c r="A71" s="47">
        <v>2024</v>
      </c>
      <c r="B71" s="50" t="s">
        <v>1411</v>
      </c>
      <c r="C71" s="50" t="s">
        <v>8972</v>
      </c>
      <c r="D71" s="47" t="s">
        <v>618</v>
      </c>
      <c r="E71" s="48" t="s">
        <v>619</v>
      </c>
      <c r="F71" s="53">
        <v>1866.12</v>
      </c>
      <c r="G71" s="53">
        <v>0</v>
      </c>
      <c r="H71" s="53">
        <v>0</v>
      </c>
      <c r="I71" s="53">
        <v>0</v>
      </c>
      <c r="J71" s="53">
        <v>0</v>
      </c>
      <c r="K71" s="53">
        <v>0</v>
      </c>
      <c r="L71" s="53">
        <v>0</v>
      </c>
      <c r="M71" s="43"/>
      <c r="N71" s="53">
        <v>0</v>
      </c>
      <c r="O71" s="53">
        <v>0</v>
      </c>
      <c r="P71" s="53">
        <v>0</v>
      </c>
      <c r="Q71" s="53">
        <v>1866.12</v>
      </c>
    </row>
    <row r="72" spans="1:17" ht="26.45">
      <c r="A72" s="44">
        <v>2024</v>
      </c>
      <c r="B72" s="46" t="s">
        <v>1411</v>
      </c>
      <c r="C72" s="46" t="s">
        <v>8972</v>
      </c>
      <c r="D72" s="44" t="s">
        <v>84</v>
      </c>
      <c r="E72" s="45" t="s">
        <v>620</v>
      </c>
      <c r="F72" s="54">
        <v>12282.91</v>
      </c>
      <c r="G72" s="54">
        <v>1838.75</v>
      </c>
      <c r="H72" s="54">
        <v>0</v>
      </c>
      <c r="I72" s="54">
        <v>0</v>
      </c>
      <c r="J72" s="54">
        <v>0</v>
      </c>
      <c r="K72" s="54">
        <v>0</v>
      </c>
      <c r="L72" s="54">
        <v>0</v>
      </c>
      <c r="M72" s="43"/>
      <c r="N72" s="54">
        <v>0</v>
      </c>
      <c r="O72" s="54">
        <v>0</v>
      </c>
      <c r="P72" s="54">
        <v>0</v>
      </c>
      <c r="Q72" s="54">
        <v>14121.66</v>
      </c>
    </row>
    <row r="73" spans="1:17" ht="26.45">
      <c r="A73" s="47">
        <v>2024</v>
      </c>
      <c r="B73" s="50" t="s">
        <v>1411</v>
      </c>
      <c r="C73" s="50" t="s">
        <v>8972</v>
      </c>
      <c r="D73" s="47" t="s">
        <v>85</v>
      </c>
      <c r="E73" s="48" t="s">
        <v>621</v>
      </c>
      <c r="F73" s="53">
        <v>6001.01</v>
      </c>
      <c r="G73" s="53">
        <v>0</v>
      </c>
      <c r="H73" s="53">
        <v>0</v>
      </c>
      <c r="I73" s="53">
        <v>0</v>
      </c>
      <c r="J73" s="53">
        <v>0</v>
      </c>
      <c r="K73" s="53">
        <v>0</v>
      </c>
      <c r="L73" s="53">
        <v>-6001.01</v>
      </c>
      <c r="M73" s="43"/>
      <c r="N73" s="53">
        <v>0</v>
      </c>
      <c r="O73" s="53">
        <v>0</v>
      </c>
      <c r="P73" s="53">
        <v>0</v>
      </c>
      <c r="Q73" s="53">
        <v>0</v>
      </c>
    </row>
    <row r="74" spans="1:17" ht="26.45">
      <c r="A74" s="44">
        <v>2024</v>
      </c>
      <c r="B74" s="46" t="s">
        <v>1411</v>
      </c>
      <c r="C74" s="46" t="s">
        <v>8972</v>
      </c>
      <c r="D74" s="44" t="s">
        <v>622</v>
      </c>
      <c r="E74" s="45" t="s">
        <v>623</v>
      </c>
      <c r="F74" s="54">
        <v>113395.04</v>
      </c>
      <c r="G74" s="54">
        <v>0</v>
      </c>
      <c r="H74" s="54">
        <v>0</v>
      </c>
      <c r="I74" s="54">
        <v>0</v>
      </c>
      <c r="J74" s="54">
        <v>0</v>
      </c>
      <c r="K74" s="54">
        <v>0</v>
      </c>
      <c r="L74" s="54">
        <v>0</v>
      </c>
      <c r="M74" s="43"/>
      <c r="N74" s="54">
        <v>0</v>
      </c>
      <c r="O74" s="54">
        <v>0</v>
      </c>
      <c r="P74" s="54">
        <v>0</v>
      </c>
      <c r="Q74" s="54">
        <v>113395.04</v>
      </c>
    </row>
    <row r="75" spans="1:17" ht="26.45">
      <c r="A75" s="47">
        <v>2024</v>
      </c>
      <c r="B75" s="50" t="s">
        <v>1411</v>
      </c>
      <c r="C75" s="50" t="s">
        <v>8972</v>
      </c>
      <c r="D75" s="47" t="s">
        <v>86</v>
      </c>
      <c r="E75" s="48" t="s">
        <v>624</v>
      </c>
      <c r="F75" s="53">
        <v>197358.45</v>
      </c>
      <c r="G75" s="53">
        <v>13282.34</v>
      </c>
      <c r="H75" s="53">
        <v>0</v>
      </c>
      <c r="I75" s="53">
        <v>0</v>
      </c>
      <c r="J75" s="53">
        <v>0</v>
      </c>
      <c r="K75" s="53">
        <v>0</v>
      </c>
      <c r="L75" s="53">
        <v>0</v>
      </c>
      <c r="M75" s="43"/>
      <c r="N75" s="53">
        <v>0</v>
      </c>
      <c r="O75" s="53">
        <v>0</v>
      </c>
      <c r="P75" s="53">
        <v>0</v>
      </c>
      <c r="Q75" s="53">
        <v>210640.79</v>
      </c>
    </row>
    <row r="76" spans="1:17" ht="26.45">
      <c r="A76" s="44">
        <v>2024</v>
      </c>
      <c r="B76" s="46" t="s">
        <v>1411</v>
      </c>
      <c r="C76" s="46" t="s">
        <v>8972</v>
      </c>
      <c r="D76" s="44" t="s">
        <v>87</v>
      </c>
      <c r="E76" s="45" t="s">
        <v>625</v>
      </c>
      <c r="F76" s="54">
        <v>51965.57</v>
      </c>
      <c r="G76" s="54">
        <v>0</v>
      </c>
      <c r="H76" s="54">
        <v>0</v>
      </c>
      <c r="I76" s="54">
        <v>0</v>
      </c>
      <c r="J76" s="54">
        <v>0</v>
      </c>
      <c r="K76" s="54">
        <v>0</v>
      </c>
      <c r="L76" s="54">
        <v>0</v>
      </c>
      <c r="M76" s="43"/>
      <c r="N76" s="54">
        <v>0</v>
      </c>
      <c r="O76" s="54">
        <v>0</v>
      </c>
      <c r="P76" s="54">
        <v>0</v>
      </c>
      <c r="Q76" s="54">
        <v>51965.57</v>
      </c>
    </row>
    <row r="77" spans="1:17" ht="26.45">
      <c r="A77" s="47">
        <v>2024</v>
      </c>
      <c r="B77" s="50" t="s">
        <v>1411</v>
      </c>
      <c r="C77" s="50" t="s">
        <v>8972</v>
      </c>
      <c r="D77" s="47" t="s">
        <v>88</v>
      </c>
      <c r="E77" s="48" t="s">
        <v>626</v>
      </c>
      <c r="F77" s="53">
        <v>10378.33</v>
      </c>
      <c r="G77" s="53">
        <v>0</v>
      </c>
      <c r="H77" s="53">
        <v>0</v>
      </c>
      <c r="I77" s="53">
        <v>0</v>
      </c>
      <c r="J77" s="53">
        <v>0</v>
      </c>
      <c r="K77" s="53">
        <v>0</v>
      </c>
      <c r="L77" s="53">
        <v>0</v>
      </c>
      <c r="M77" s="43"/>
      <c r="N77" s="53">
        <v>0</v>
      </c>
      <c r="O77" s="53">
        <v>0</v>
      </c>
      <c r="P77" s="53">
        <v>0</v>
      </c>
      <c r="Q77" s="53">
        <v>10378.33</v>
      </c>
    </row>
    <row r="78" spans="1:17" ht="26.45">
      <c r="A78" s="44">
        <v>2024</v>
      </c>
      <c r="B78" s="46" t="s">
        <v>1411</v>
      </c>
      <c r="C78" s="46" t="s">
        <v>8972</v>
      </c>
      <c r="D78" s="44" t="s">
        <v>89</v>
      </c>
      <c r="E78" s="45" t="s">
        <v>627</v>
      </c>
      <c r="F78" s="54">
        <v>59796.49</v>
      </c>
      <c r="G78" s="54">
        <v>0</v>
      </c>
      <c r="H78" s="54">
        <v>0</v>
      </c>
      <c r="I78" s="54">
        <v>0</v>
      </c>
      <c r="J78" s="54">
        <v>0</v>
      </c>
      <c r="K78" s="54">
        <v>0</v>
      </c>
      <c r="L78" s="54">
        <v>0</v>
      </c>
      <c r="M78" s="43"/>
      <c r="N78" s="54">
        <v>0</v>
      </c>
      <c r="O78" s="54">
        <v>0</v>
      </c>
      <c r="P78" s="54">
        <v>0</v>
      </c>
      <c r="Q78" s="54">
        <v>59796.49</v>
      </c>
    </row>
    <row r="79" spans="1:17" ht="26.45">
      <c r="A79" s="47">
        <v>2024</v>
      </c>
      <c r="B79" s="50" t="s">
        <v>1411</v>
      </c>
      <c r="C79" s="50" t="s">
        <v>8972</v>
      </c>
      <c r="D79" s="47" t="s">
        <v>90</v>
      </c>
      <c r="E79" s="48" t="s">
        <v>632</v>
      </c>
      <c r="F79" s="53">
        <v>66784.84</v>
      </c>
      <c r="G79" s="53">
        <v>0</v>
      </c>
      <c r="H79" s="53">
        <v>0</v>
      </c>
      <c r="I79" s="53">
        <v>0</v>
      </c>
      <c r="J79" s="53">
        <v>0</v>
      </c>
      <c r="K79" s="53">
        <v>0</v>
      </c>
      <c r="L79" s="53">
        <v>0</v>
      </c>
      <c r="M79" s="43"/>
      <c r="N79" s="53">
        <v>0</v>
      </c>
      <c r="O79" s="53">
        <v>0</v>
      </c>
      <c r="P79" s="53">
        <v>0</v>
      </c>
      <c r="Q79" s="53">
        <v>66784.84</v>
      </c>
    </row>
    <row r="80" spans="1:17" ht="26.45">
      <c r="A80" s="44">
        <v>2024</v>
      </c>
      <c r="B80" s="46" t="s">
        <v>1411</v>
      </c>
      <c r="C80" s="46" t="s">
        <v>8972</v>
      </c>
      <c r="D80" s="44" t="s">
        <v>635</v>
      </c>
      <c r="E80" s="45" t="s">
        <v>632</v>
      </c>
      <c r="F80" s="54">
        <v>55431.68</v>
      </c>
      <c r="G80" s="54">
        <v>4613.5</v>
      </c>
      <c r="H80" s="54">
        <v>0</v>
      </c>
      <c r="I80" s="54">
        <v>0</v>
      </c>
      <c r="J80" s="54">
        <v>0</v>
      </c>
      <c r="K80" s="54">
        <v>0</v>
      </c>
      <c r="L80" s="54">
        <v>0</v>
      </c>
      <c r="M80" s="43"/>
      <c r="N80" s="54">
        <v>0</v>
      </c>
      <c r="O80" s="54">
        <v>0</v>
      </c>
      <c r="P80" s="54">
        <v>0</v>
      </c>
      <c r="Q80" s="54">
        <v>60045.18</v>
      </c>
    </row>
    <row r="81" spans="1:17" ht="26.45">
      <c r="A81" s="47">
        <v>2024</v>
      </c>
      <c r="B81" s="50" t="s">
        <v>1411</v>
      </c>
      <c r="C81" s="50" t="s">
        <v>8972</v>
      </c>
      <c r="D81" s="47" t="s">
        <v>637</v>
      </c>
      <c r="E81" s="48" t="s">
        <v>632</v>
      </c>
      <c r="F81" s="53">
        <v>59399.57</v>
      </c>
      <c r="G81" s="53">
        <v>2819.23</v>
      </c>
      <c r="H81" s="53">
        <v>0</v>
      </c>
      <c r="I81" s="53">
        <v>0</v>
      </c>
      <c r="J81" s="53">
        <v>0</v>
      </c>
      <c r="K81" s="53">
        <v>0</v>
      </c>
      <c r="L81" s="53">
        <v>0</v>
      </c>
      <c r="M81" s="43"/>
      <c r="N81" s="53">
        <v>0</v>
      </c>
      <c r="O81" s="53">
        <v>0</v>
      </c>
      <c r="P81" s="53">
        <v>0</v>
      </c>
      <c r="Q81" s="53">
        <v>62218.8</v>
      </c>
    </row>
    <row r="82" spans="1:17" ht="26.45">
      <c r="A82" s="44">
        <v>2024</v>
      </c>
      <c r="B82" s="46" t="s">
        <v>1411</v>
      </c>
      <c r="C82" s="46" t="s">
        <v>8972</v>
      </c>
      <c r="D82" s="44" t="s">
        <v>636</v>
      </c>
      <c r="E82" s="45" t="s">
        <v>632</v>
      </c>
      <c r="F82" s="54">
        <v>67718.06</v>
      </c>
      <c r="G82" s="54">
        <v>6665.26</v>
      </c>
      <c r="H82" s="54">
        <v>0</v>
      </c>
      <c r="I82" s="54">
        <v>0</v>
      </c>
      <c r="J82" s="54">
        <v>0</v>
      </c>
      <c r="K82" s="54">
        <v>0</v>
      </c>
      <c r="L82" s="54">
        <v>0</v>
      </c>
      <c r="M82" s="43"/>
      <c r="N82" s="54">
        <v>0</v>
      </c>
      <c r="O82" s="54">
        <v>0</v>
      </c>
      <c r="P82" s="54">
        <v>0</v>
      </c>
      <c r="Q82" s="54">
        <v>74383.320000000007</v>
      </c>
    </row>
    <row r="83" spans="1:17" ht="26.45">
      <c r="A83" s="47">
        <v>2024</v>
      </c>
      <c r="B83" s="50" t="s">
        <v>1411</v>
      </c>
      <c r="C83" s="50" t="s">
        <v>8972</v>
      </c>
      <c r="D83" s="47" t="s">
        <v>633</v>
      </c>
      <c r="E83" s="48" t="s">
        <v>632</v>
      </c>
      <c r="F83" s="53">
        <v>44879.11</v>
      </c>
      <c r="G83" s="53">
        <v>4132.74</v>
      </c>
      <c r="H83" s="53">
        <v>0</v>
      </c>
      <c r="I83" s="53">
        <v>0</v>
      </c>
      <c r="J83" s="53">
        <v>0</v>
      </c>
      <c r="K83" s="53">
        <v>0</v>
      </c>
      <c r="L83" s="53">
        <v>0</v>
      </c>
      <c r="M83" s="43"/>
      <c r="N83" s="53">
        <v>0</v>
      </c>
      <c r="O83" s="53">
        <v>0</v>
      </c>
      <c r="P83" s="53">
        <v>0</v>
      </c>
      <c r="Q83" s="53">
        <v>49011.85</v>
      </c>
    </row>
    <row r="84" spans="1:17" ht="26.45">
      <c r="A84" s="44">
        <v>2024</v>
      </c>
      <c r="B84" s="46" t="s">
        <v>1411</v>
      </c>
      <c r="C84" s="46" t="s">
        <v>8972</v>
      </c>
      <c r="D84" s="44" t="s">
        <v>91</v>
      </c>
      <c r="E84" s="45" t="s">
        <v>632</v>
      </c>
      <c r="F84" s="54">
        <v>15296.52</v>
      </c>
      <c r="G84" s="54">
        <v>0</v>
      </c>
      <c r="H84" s="54">
        <v>0</v>
      </c>
      <c r="I84" s="54">
        <v>0</v>
      </c>
      <c r="J84" s="54">
        <v>0</v>
      </c>
      <c r="K84" s="54">
        <v>0</v>
      </c>
      <c r="L84" s="54">
        <v>0</v>
      </c>
      <c r="M84" s="43"/>
      <c r="N84" s="54">
        <v>0</v>
      </c>
      <c r="O84" s="54">
        <v>0</v>
      </c>
      <c r="P84" s="54">
        <v>0</v>
      </c>
      <c r="Q84" s="54">
        <v>15296.52</v>
      </c>
    </row>
    <row r="85" spans="1:17" ht="26.45">
      <c r="A85" s="47">
        <v>2024</v>
      </c>
      <c r="B85" s="50" t="s">
        <v>1411</v>
      </c>
      <c r="C85" s="50" t="s">
        <v>8972</v>
      </c>
      <c r="D85" s="47" t="s">
        <v>631</v>
      </c>
      <c r="E85" s="48" t="s">
        <v>632</v>
      </c>
      <c r="F85" s="53">
        <v>37127.910000000003</v>
      </c>
      <c r="G85" s="53">
        <v>2.14</v>
      </c>
      <c r="H85" s="53">
        <v>0</v>
      </c>
      <c r="I85" s="53">
        <v>0</v>
      </c>
      <c r="J85" s="53">
        <v>0</v>
      </c>
      <c r="K85" s="53">
        <v>0</v>
      </c>
      <c r="L85" s="53">
        <v>0</v>
      </c>
      <c r="M85" s="43"/>
      <c r="N85" s="53">
        <v>0</v>
      </c>
      <c r="O85" s="53">
        <v>0</v>
      </c>
      <c r="P85" s="53">
        <v>0</v>
      </c>
      <c r="Q85" s="53">
        <v>37130.050000000003</v>
      </c>
    </row>
    <row r="86" spans="1:17" ht="26.45">
      <c r="A86" s="44">
        <v>2024</v>
      </c>
      <c r="B86" s="46" t="s">
        <v>1411</v>
      </c>
      <c r="C86" s="46" t="s">
        <v>8972</v>
      </c>
      <c r="D86" s="44" t="s">
        <v>92</v>
      </c>
      <c r="E86" s="45" t="s">
        <v>632</v>
      </c>
      <c r="F86" s="54">
        <v>82897.2</v>
      </c>
      <c r="G86" s="54">
        <v>4490.12</v>
      </c>
      <c r="H86" s="54">
        <v>0</v>
      </c>
      <c r="I86" s="54">
        <v>0</v>
      </c>
      <c r="J86" s="54">
        <v>0</v>
      </c>
      <c r="K86" s="54">
        <v>0</v>
      </c>
      <c r="L86" s="54">
        <v>0</v>
      </c>
      <c r="M86" s="43"/>
      <c r="N86" s="54">
        <v>0</v>
      </c>
      <c r="O86" s="54">
        <v>0</v>
      </c>
      <c r="P86" s="54">
        <v>0</v>
      </c>
      <c r="Q86" s="54">
        <v>87387.32</v>
      </c>
    </row>
    <row r="87" spans="1:17" ht="26.45">
      <c r="A87" s="47">
        <v>2024</v>
      </c>
      <c r="B87" s="50" t="s">
        <v>1411</v>
      </c>
      <c r="C87" s="50" t="s">
        <v>8972</v>
      </c>
      <c r="D87" s="47" t="s">
        <v>634</v>
      </c>
      <c r="E87" s="48" t="s">
        <v>632</v>
      </c>
      <c r="F87" s="53">
        <v>19181.64</v>
      </c>
      <c r="G87" s="53">
        <v>0</v>
      </c>
      <c r="H87" s="53">
        <v>0</v>
      </c>
      <c r="I87" s="53">
        <v>0</v>
      </c>
      <c r="J87" s="53">
        <v>0</v>
      </c>
      <c r="K87" s="53">
        <v>0</v>
      </c>
      <c r="L87" s="53">
        <v>0</v>
      </c>
      <c r="M87" s="43"/>
      <c r="N87" s="53">
        <v>0</v>
      </c>
      <c r="O87" s="53">
        <v>0</v>
      </c>
      <c r="P87" s="53">
        <v>0</v>
      </c>
      <c r="Q87" s="53">
        <v>19181.64</v>
      </c>
    </row>
    <row r="88" spans="1:17" ht="39.6">
      <c r="A88" s="44">
        <v>2024</v>
      </c>
      <c r="B88" s="46" t="s">
        <v>1411</v>
      </c>
      <c r="C88" s="46" t="s">
        <v>8972</v>
      </c>
      <c r="D88" s="44" t="s">
        <v>628</v>
      </c>
      <c r="E88" s="45" t="s">
        <v>629</v>
      </c>
      <c r="F88" s="54">
        <v>30760.82</v>
      </c>
      <c r="G88" s="54">
        <v>0</v>
      </c>
      <c r="H88" s="54">
        <v>0</v>
      </c>
      <c r="I88" s="54">
        <v>0</v>
      </c>
      <c r="J88" s="54">
        <v>0</v>
      </c>
      <c r="K88" s="54">
        <v>0</v>
      </c>
      <c r="L88" s="54">
        <v>0</v>
      </c>
      <c r="M88" s="43"/>
      <c r="N88" s="54">
        <v>0</v>
      </c>
      <c r="O88" s="54">
        <v>0</v>
      </c>
      <c r="P88" s="54">
        <v>0</v>
      </c>
      <c r="Q88" s="54">
        <v>30760.82</v>
      </c>
    </row>
    <row r="89" spans="1:17" ht="26.45">
      <c r="A89" s="47">
        <v>2024</v>
      </c>
      <c r="B89" s="50" t="s">
        <v>1411</v>
      </c>
      <c r="C89" s="50" t="s">
        <v>8972</v>
      </c>
      <c r="D89" s="47" t="s">
        <v>93</v>
      </c>
      <c r="E89" s="48" t="s">
        <v>630</v>
      </c>
      <c r="F89" s="53">
        <v>445632.91</v>
      </c>
      <c r="G89" s="53">
        <v>107265.73</v>
      </c>
      <c r="H89" s="53">
        <v>0</v>
      </c>
      <c r="I89" s="53">
        <v>0</v>
      </c>
      <c r="J89" s="53">
        <v>0</v>
      </c>
      <c r="K89" s="53">
        <v>0</v>
      </c>
      <c r="L89" s="53">
        <v>0</v>
      </c>
      <c r="M89" s="43"/>
      <c r="N89" s="53">
        <v>0</v>
      </c>
      <c r="O89" s="53">
        <v>0</v>
      </c>
      <c r="P89" s="53">
        <v>0</v>
      </c>
      <c r="Q89" s="53">
        <v>552898.64</v>
      </c>
    </row>
    <row r="90" spans="1:17" ht="26.45">
      <c r="A90" s="44">
        <v>2024</v>
      </c>
      <c r="B90" s="46" t="s">
        <v>1411</v>
      </c>
      <c r="C90" s="46" t="s">
        <v>8972</v>
      </c>
      <c r="D90" s="44" t="s">
        <v>94</v>
      </c>
      <c r="E90" s="45" t="s">
        <v>638</v>
      </c>
      <c r="F90" s="54">
        <v>1180425.19</v>
      </c>
      <c r="G90" s="54">
        <v>312403.01</v>
      </c>
      <c r="H90" s="54">
        <v>0</v>
      </c>
      <c r="I90" s="54">
        <v>0</v>
      </c>
      <c r="J90" s="54">
        <v>0</v>
      </c>
      <c r="K90" s="54">
        <v>0</v>
      </c>
      <c r="L90" s="54">
        <v>0</v>
      </c>
      <c r="M90" s="43"/>
      <c r="N90" s="54">
        <v>0</v>
      </c>
      <c r="O90" s="54">
        <v>0</v>
      </c>
      <c r="P90" s="54">
        <v>0</v>
      </c>
      <c r="Q90" s="54">
        <v>1492828.2</v>
      </c>
    </row>
    <row r="91" spans="1:17" ht="26.45">
      <c r="A91" s="47">
        <v>2024</v>
      </c>
      <c r="B91" s="50" t="s">
        <v>1411</v>
      </c>
      <c r="C91" s="50" t="s">
        <v>8972</v>
      </c>
      <c r="D91" s="47" t="s">
        <v>639</v>
      </c>
      <c r="E91" s="48" t="s">
        <v>640</v>
      </c>
      <c r="F91" s="53">
        <v>7713.63</v>
      </c>
      <c r="G91" s="53">
        <v>0</v>
      </c>
      <c r="H91" s="53">
        <v>0</v>
      </c>
      <c r="I91" s="53">
        <v>0</v>
      </c>
      <c r="J91" s="53">
        <v>0</v>
      </c>
      <c r="K91" s="53">
        <v>0</v>
      </c>
      <c r="L91" s="53">
        <v>-7713.63</v>
      </c>
      <c r="M91" s="43"/>
      <c r="N91" s="53">
        <v>0</v>
      </c>
      <c r="O91" s="53">
        <v>0</v>
      </c>
      <c r="P91" s="53">
        <v>0</v>
      </c>
      <c r="Q91" s="53">
        <v>0</v>
      </c>
    </row>
    <row r="92" spans="1:17" ht="26.45">
      <c r="A92" s="44">
        <v>2024</v>
      </c>
      <c r="B92" s="46" t="s">
        <v>1411</v>
      </c>
      <c r="C92" s="46" t="s">
        <v>8972</v>
      </c>
      <c r="D92" s="44" t="s">
        <v>641</v>
      </c>
      <c r="E92" s="45" t="s">
        <v>642</v>
      </c>
      <c r="F92" s="54">
        <v>39185.47</v>
      </c>
      <c r="G92" s="54">
        <v>0</v>
      </c>
      <c r="H92" s="54">
        <v>0</v>
      </c>
      <c r="I92" s="54">
        <v>0</v>
      </c>
      <c r="J92" s="54">
        <v>0</v>
      </c>
      <c r="K92" s="54">
        <v>0</v>
      </c>
      <c r="L92" s="54">
        <v>0</v>
      </c>
      <c r="M92" s="43"/>
      <c r="N92" s="54">
        <v>0</v>
      </c>
      <c r="O92" s="54">
        <v>0</v>
      </c>
      <c r="P92" s="54">
        <v>0</v>
      </c>
      <c r="Q92" s="54">
        <v>39185.47</v>
      </c>
    </row>
    <row r="93" spans="1:17" ht="26.45">
      <c r="A93" s="47">
        <v>2024</v>
      </c>
      <c r="B93" s="50" t="s">
        <v>1411</v>
      </c>
      <c r="C93" s="50" t="s">
        <v>8972</v>
      </c>
      <c r="D93" s="47" t="s">
        <v>643</v>
      </c>
      <c r="E93" s="48" t="s">
        <v>644</v>
      </c>
      <c r="F93" s="53">
        <v>88589.84</v>
      </c>
      <c r="G93" s="53">
        <v>0</v>
      </c>
      <c r="H93" s="53">
        <v>0</v>
      </c>
      <c r="I93" s="53">
        <v>0</v>
      </c>
      <c r="J93" s="53">
        <v>0</v>
      </c>
      <c r="K93" s="53">
        <v>0</v>
      </c>
      <c r="L93" s="53">
        <v>0</v>
      </c>
      <c r="M93" s="43"/>
      <c r="N93" s="53">
        <v>0</v>
      </c>
      <c r="O93" s="53">
        <v>0</v>
      </c>
      <c r="P93" s="53">
        <v>0</v>
      </c>
      <c r="Q93" s="53">
        <v>88589.84</v>
      </c>
    </row>
    <row r="94" spans="1:17" ht="26.45">
      <c r="A94" s="44">
        <v>2024</v>
      </c>
      <c r="B94" s="46" t="s">
        <v>1411</v>
      </c>
      <c r="C94" s="46" t="s">
        <v>8972</v>
      </c>
      <c r="D94" s="44" t="s">
        <v>95</v>
      </c>
      <c r="E94" s="45" t="s">
        <v>645</v>
      </c>
      <c r="F94" s="54">
        <v>291654.46000000002</v>
      </c>
      <c r="G94" s="54">
        <v>64324.99</v>
      </c>
      <c r="H94" s="54">
        <v>0</v>
      </c>
      <c r="I94" s="54">
        <v>0</v>
      </c>
      <c r="J94" s="54">
        <v>0</v>
      </c>
      <c r="K94" s="54">
        <v>0</v>
      </c>
      <c r="L94" s="54">
        <v>0</v>
      </c>
      <c r="M94" s="43"/>
      <c r="N94" s="54">
        <v>0</v>
      </c>
      <c r="O94" s="54">
        <v>0</v>
      </c>
      <c r="P94" s="54">
        <v>0</v>
      </c>
      <c r="Q94" s="54">
        <v>355979.45</v>
      </c>
    </row>
    <row r="95" spans="1:17" ht="26.45">
      <c r="A95" s="47">
        <v>2024</v>
      </c>
      <c r="B95" s="50" t="s">
        <v>1411</v>
      </c>
      <c r="C95" s="50" t="s">
        <v>8972</v>
      </c>
      <c r="D95" s="47" t="s">
        <v>96</v>
      </c>
      <c r="E95" s="48" t="s">
        <v>646</v>
      </c>
      <c r="F95" s="53">
        <v>96165.95</v>
      </c>
      <c r="G95" s="53">
        <v>26739.5</v>
      </c>
      <c r="H95" s="53">
        <v>0</v>
      </c>
      <c r="I95" s="53">
        <v>0</v>
      </c>
      <c r="J95" s="53">
        <v>0</v>
      </c>
      <c r="K95" s="53">
        <v>0</v>
      </c>
      <c r="L95" s="53">
        <v>0</v>
      </c>
      <c r="M95" s="43"/>
      <c r="N95" s="53">
        <v>0</v>
      </c>
      <c r="O95" s="53">
        <v>0</v>
      </c>
      <c r="P95" s="53">
        <v>0</v>
      </c>
      <c r="Q95" s="53">
        <v>122905.45</v>
      </c>
    </row>
    <row r="96" spans="1:17" ht="26.45">
      <c r="A96" s="44">
        <v>2024</v>
      </c>
      <c r="B96" s="46" t="s">
        <v>1411</v>
      </c>
      <c r="C96" s="46" t="s">
        <v>8972</v>
      </c>
      <c r="D96" s="44" t="s">
        <v>97</v>
      </c>
      <c r="E96" s="45" t="s">
        <v>647</v>
      </c>
      <c r="F96" s="54">
        <v>84157.6</v>
      </c>
      <c r="G96" s="54">
        <v>0</v>
      </c>
      <c r="H96" s="54">
        <v>0</v>
      </c>
      <c r="I96" s="54">
        <v>0</v>
      </c>
      <c r="J96" s="54">
        <v>0</v>
      </c>
      <c r="K96" s="54">
        <v>0</v>
      </c>
      <c r="L96" s="54">
        <v>0</v>
      </c>
      <c r="M96" s="43"/>
      <c r="N96" s="54">
        <v>0</v>
      </c>
      <c r="O96" s="54">
        <v>0</v>
      </c>
      <c r="P96" s="54">
        <v>0</v>
      </c>
      <c r="Q96" s="54">
        <v>84157.6</v>
      </c>
    </row>
    <row r="97" spans="1:17" ht="26.45">
      <c r="A97" s="47">
        <v>2024</v>
      </c>
      <c r="B97" s="50" t="s">
        <v>1411</v>
      </c>
      <c r="C97" s="50" t="s">
        <v>8972</v>
      </c>
      <c r="D97" s="47" t="s">
        <v>98</v>
      </c>
      <c r="E97" s="48" t="s">
        <v>648</v>
      </c>
      <c r="F97" s="53">
        <v>110316.17</v>
      </c>
      <c r="G97" s="53">
        <v>0</v>
      </c>
      <c r="H97" s="53">
        <v>0</v>
      </c>
      <c r="I97" s="53">
        <v>0</v>
      </c>
      <c r="J97" s="53">
        <v>0</v>
      </c>
      <c r="K97" s="53">
        <v>0</v>
      </c>
      <c r="L97" s="53">
        <v>0</v>
      </c>
      <c r="M97" s="43"/>
      <c r="N97" s="53">
        <v>0</v>
      </c>
      <c r="O97" s="53">
        <v>0</v>
      </c>
      <c r="P97" s="53">
        <v>0</v>
      </c>
      <c r="Q97" s="53">
        <v>110316.17</v>
      </c>
    </row>
    <row r="98" spans="1:17" ht="26.45">
      <c r="A98" s="44">
        <v>2024</v>
      </c>
      <c r="B98" s="46" t="s">
        <v>1411</v>
      </c>
      <c r="C98" s="46" t="s">
        <v>8972</v>
      </c>
      <c r="D98" s="44" t="s">
        <v>99</v>
      </c>
      <c r="E98" s="45" t="s">
        <v>649</v>
      </c>
      <c r="F98" s="54">
        <v>58365.05</v>
      </c>
      <c r="G98" s="54">
        <v>0</v>
      </c>
      <c r="H98" s="54">
        <v>0</v>
      </c>
      <c r="I98" s="54">
        <v>0</v>
      </c>
      <c r="J98" s="54">
        <v>0</v>
      </c>
      <c r="K98" s="54">
        <v>0</v>
      </c>
      <c r="L98" s="54">
        <v>0</v>
      </c>
      <c r="M98" s="43"/>
      <c r="N98" s="54">
        <v>0</v>
      </c>
      <c r="O98" s="54">
        <v>0</v>
      </c>
      <c r="P98" s="54">
        <v>0</v>
      </c>
      <c r="Q98" s="54">
        <v>58365.05</v>
      </c>
    </row>
    <row r="99" spans="1:17" ht="26.45">
      <c r="A99" s="47">
        <v>2024</v>
      </c>
      <c r="B99" s="50" t="s">
        <v>1411</v>
      </c>
      <c r="C99" s="50" t="s">
        <v>8972</v>
      </c>
      <c r="D99" s="47" t="s">
        <v>100</v>
      </c>
      <c r="E99" s="48" t="s">
        <v>650</v>
      </c>
      <c r="F99" s="53">
        <v>576110.31000000006</v>
      </c>
      <c r="G99" s="53">
        <v>180351.39</v>
      </c>
      <c r="H99" s="53">
        <v>0</v>
      </c>
      <c r="I99" s="53">
        <v>0</v>
      </c>
      <c r="J99" s="53">
        <v>0</v>
      </c>
      <c r="K99" s="53">
        <v>0</v>
      </c>
      <c r="L99" s="53">
        <v>0</v>
      </c>
      <c r="M99" s="43"/>
      <c r="N99" s="53">
        <v>0</v>
      </c>
      <c r="O99" s="53">
        <v>0</v>
      </c>
      <c r="P99" s="53">
        <v>0</v>
      </c>
      <c r="Q99" s="53">
        <v>756461.7</v>
      </c>
    </row>
    <row r="100" spans="1:17" ht="26.45">
      <c r="A100" s="44">
        <v>2024</v>
      </c>
      <c r="B100" s="46" t="s">
        <v>1411</v>
      </c>
      <c r="C100" s="46" t="s">
        <v>8972</v>
      </c>
      <c r="D100" s="44" t="s">
        <v>101</v>
      </c>
      <c r="E100" s="45" t="s">
        <v>652</v>
      </c>
      <c r="F100" s="54">
        <v>101800.74</v>
      </c>
      <c r="G100" s="54">
        <v>27000</v>
      </c>
      <c r="H100" s="54">
        <v>0</v>
      </c>
      <c r="I100" s="54">
        <v>0</v>
      </c>
      <c r="J100" s="54">
        <v>0</v>
      </c>
      <c r="K100" s="54">
        <v>0</v>
      </c>
      <c r="L100" s="54">
        <v>0</v>
      </c>
      <c r="M100" s="43"/>
      <c r="N100" s="54">
        <v>0</v>
      </c>
      <c r="O100" s="54">
        <v>0</v>
      </c>
      <c r="P100" s="54">
        <v>0</v>
      </c>
      <c r="Q100" s="54">
        <v>128800.74</v>
      </c>
    </row>
    <row r="101" spans="1:17" ht="26.45">
      <c r="A101" s="47">
        <v>2024</v>
      </c>
      <c r="B101" s="50" t="s">
        <v>1411</v>
      </c>
      <c r="C101" s="50" t="s">
        <v>8972</v>
      </c>
      <c r="D101" s="47" t="s">
        <v>657</v>
      </c>
      <c r="E101" s="48" t="s">
        <v>652</v>
      </c>
      <c r="F101" s="53">
        <v>89225.13</v>
      </c>
      <c r="G101" s="53">
        <v>0</v>
      </c>
      <c r="H101" s="53">
        <v>0</v>
      </c>
      <c r="I101" s="53">
        <v>0</v>
      </c>
      <c r="J101" s="53">
        <v>0</v>
      </c>
      <c r="K101" s="53">
        <v>0</v>
      </c>
      <c r="L101" s="53">
        <v>0</v>
      </c>
      <c r="M101" s="43"/>
      <c r="N101" s="53">
        <v>0</v>
      </c>
      <c r="O101" s="53">
        <v>0</v>
      </c>
      <c r="P101" s="53">
        <v>0</v>
      </c>
      <c r="Q101" s="53">
        <v>89225.13</v>
      </c>
    </row>
    <row r="102" spans="1:17" ht="26.45">
      <c r="A102" s="44">
        <v>2024</v>
      </c>
      <c r="B102" s="46" t="s">
        <v>1411</v>
      </c>
      <c r="C102" s="46" t="s">
        <v>8972</v>
      </c>
      <c r="D102" s="44" t="s">
        <v>102</v>
      </c>
      <c r="E102" s="45" t="s">
        <v>652</v>
      </c>
      <c r="F102" s="54">
        <v>108437.35</v>
      </c>
      <c r="G102" s="54">
        <v>0</v>
      </c>
      <c r="H102" s="54">
        <v>0</v>
      </c>
      <c r="I102" s="54">
        <v>0</v>
      </c>
      <c r="J102" s="54">
        <v>0</v>
      </c>
      <c r="K102" s="54">
        <v>0</v>
      </c>
      <c r="L102" s="54">
        <v>0</v>
      </c>
      <c r="M102" s="43"/>
      <c r="N102" s="54">
        <v>0</v>
      </c>
      <c r="O102" s="54">
        <v>0</v>
      </c>
      <c r="P102" s="54">
        <v>0</v>
      </c>
      <c r="Q102" s="54">
        <v>108437.35</v>
      </c>
    </row>
    <row r="103" spans="1:17" ht="26.45">
      <c r="A103" s="47">
        <v>2024</v>
      </c>
      <c r="B103" s="50" t="s">
        <v>1411</v>
      </c>
      <c r="C103" s="50" t="s">
        <v>8972</v>
      </c>
      <c r="D103" s="47" t="s">
        <v>103</v>
      </c>
      <c r="E103" s="48" t="s">
        <v>652</v>
      </c>
      <c r="F103" s="53">
        <v>58869.8</v>
      </c>
      <c r="G103" s="53">
        <v>0</v>
      </c>
      <c r="H103" s="53">
        <v>0</v>
      </c>
      <c r="I103" s="53">
        <v>0</v>
      </c>
      <c r="J103" s="53">
        <v>0</v>
      </c>
      <c r="K103" s="53">
        <v>0</v>
      </c>
      <c r="L103" s="53">
        <v>0</v>
      </c>
      <c r="M103" s="43"/>
      <c r="N103" s="53">
        <v>0</v>
      </c>
      <c r="O103" s="53">
        <v>0</v>
      </c>
      <c r="P103" s="53">
        <v>0</v>
      </c>
      <c r="Q103" s="53">
        <v>58869.8</v>
      </c>
    </row>
    <row r="104" spans="1:17" ht="26.45">
      <c r="A104" s="44">
        <v>2024</v>
      </c>
      <c r="B104" s="46" t="s">
        <v>1411</v>
      </c>
      <c r="C104" s="46" t="s">
        <v>8972</v>
      </c>
      <c r="D104" s="44" t="s">
        <v>104</v>
      </c>
      <c r="E104" s="45" t="s">
        <v>652</v>
      </c>
      <c r="F104" s="54">
        <v>83953.94</v>
      </c>
      <c r="G104" s="54">
        <v>0</v>
      </c>
      <c r="H104" s="54">
        <v>0</v>
      </c>
      <c r="I104" s="54">
        <v>0</v>
      </c>
      <c r="J104" s="54">
        <v>0</v>
      </c>
      <c r="K104" s="54">
        <v>0</v>
      </c>
      <c r="L104" s="54">
        <v>0</v>
      </c>
      <c r="M104" s="43"/>
      <c r="N104" s="54">
        <v>0</v>
      </c>
      <c r="O104" s="54">
        <v>0</v>
      </c>
      <c r="P104" s="54">
        <v>0</v>
      </c>
      <c r="Q104" s="54">
        <v>83953.94</v>
      </c>
    </row>
    <row r="105" spans="1:17" ht="26.45">
      <c r="A105" s="47">
        <v>2024</v>
      </c>
      <c r="B105" s="50" t="s">
        <v>1411</v>
      </c>
      <c r="C105" s="50" t="s">
        <v>8972</v>
      </c>
      <c r="D105" s="47" t="s">
        <v>105</v>
      </c>
      <c r="E105" s="48" t="s">
        <v>652</v>
      </c>
      <c r="F105" s="53">
        <v>94031.27</v>
      </c>
      <c r="G105" s="53">
        <v>1721.05</v>
      </c>
      <c r="H105" s="53">
        <v>0</v>
      </c>
      <c r="I105" s="53">
        <v>0</v>
      </c>
      <c r="J105" s="53">
        <v>0</v>
      </c>
      <c r="K105" s="53">
        <v>0</v>
      </c>
      <c r="L105" s="53">
        <v>0</v>
      </c>
      <c r="M105" s="43"/>
      <c r="N105" s="53">
        <v>0</v>
      </c>
      <c r="O105" s="53">
        <v>0</v>
      </c>
      <c r="P105" s="53">
        <v>0</v>
      </c>
      <c r="Q105" s="53">
        <v>95752.320000000007</v>
      </c>
    </row>
    <row r="106" spans="1:17" ht="26.45">
      <c r="A106" s="44">
        <v>2024</v>
      </c>
      <c r="B106" s="46" t="s">
        <v>1411</v>
      </c>
      <c r="C106" s="46" t="s">
        <v>8972</v>
      </c>
      <c r="D106" s="44" t="s">
        <v>655</v>
      </c>
      <c r="E106" s="45" t="s">
        <v>652</v>
      </c>
      <c r="F106" s="54">
        <v>37920.79</v>
      </c>
      <c r="G106" s="54">
        <v>44468.4</v>
      </c>
      <c r="H106" s="54">
        <v>0</v>
      </c>
      <c r="I106" s="54">
        <v>0</v>
      </c>
      <c r="J106" s="54">
        <v>0</v>
      </c>
      <c r="K106" s="54">
        <v>0</v>
      </c>
      <c r="L106" s="54">
        <v>0</v>
      </c>
      <c r="M106" s="43"/>
      <c r="N106" s="54">
        <v>0</v>
      </c>
      <c r="O106" s="54">
        <v>-7443.07</v>
      </c>
      <c r="P106" s="54">
        <v>0</v>
      </c>
      <c r="Q106" s="54">
        <v>74946.12</v>
      </c>
    </row>
    <row r="107" spans="1:17" ht="26.45">
      <c r="A107" s="47">
        <v>2024</v>
      </c>
      <c r="B107" s="50" t="s">
        <v>1411</v>
      </c>
      <c r="C107" s="50" t="s">
        <v>8972</v>
      </c>
      <c r="D107" s="47" t="s">
        <v>106</v>
      </c>
      <c r="E107" s="48" t="s">
        <v>652</v>
      </c>
      <c r="F107" s="53">
        <v>74817.8</v>
      </c>
      <c r="G107" s="53">
        <v>0</v>
      </c>
      <c r="H107" s="53">
        <v>0</v>
      </c>
      <c r="I107" s="53">
        <v>0</v>
      </c>
      <c r="J107" s="53">
        <v>0</v>
      </c>
      <c r="K107" s="53">
        <v>0</v>
      </c>
      <c r="L107" s="53">
        <v>0</v>
      </c>
      <c r="M107" s="43"/>
      <c r="N107" s="53">
        <v>0</v>
      </c>
      <c r="O107" s="53">
        <v>0</v>
      </c>
      <c r="P107" s="53">
        <v>0</v>
      </c>
      <c r="Q107" s="53">
        <v>74817.8</v>
      </c>
    </row>
    <row r="108" spans="1:17" ht="26.45">
      <c r="A108" s="44">
        <v>2024</v>
      </c>
      <c r="B108" s="46" t="s">
        <v>1411</v>
      </c>
      <c r="C108" s="46" t="s">
        <v>8972</v>
      </c>
      <c r="D108" s="44" t="s">
        <v>107</v>
      </c>
      <c r="E108" s="45" t="s">
        <v>652</v>
      </c>
      <c r="F108" s="54">
        <v>65821.47</v>
      </c>
      <c r="G108" s="54">
        <v>0</v>
      </c>
      <c r="H108" s="54">
        <v>0</v>
      </c>
      <c r="I108" s="54">
        <v>0</v>
      </c>
      <c r="J108" s="54">
        <v>0</v>
      </c>
      <c r="K108" s="54">
        <v>0</v>
      </c>
      <c r="L108" s="54">
        <v>0</v>
      </c>
      <c r="M108" s="43"/>
      <c r="N108" s="54">
        <v>0</v>
      </c>
      <c r="O108" s="54">
        <v>0</v>
      </c>
      <c r="P108" s="54">
        <v>0</v>
      </c>
      <c r="Q108" s="54">
        <v>65821.47</v>
      </c>
    </row>
    <row r="109" spans="1:17" ht="26.45">
      <c r="A109" s="47">
        <v>2024</v>
      </c>
      <c r="B109" s="50" t="s">
        <v>1411</v>
      </c>
      <c r="C109" s="50" t="s">
        <v>8972</v>
      </c>
      <c r="D109" s="47" t="s">
        <v>108</v>
      </c>
      <c r="E109" s="48" t="s">
        <v>652</v>
      </c>
      <c r="F109" s="53">
        <v>83542.460000000006</v>
      </c>
      <c r="G109" s="53">
        <v>5289.07</v>
      </c>
      <c r="H109" s="53">
        <v>0</v>
      </c>
      <c r="I109" s="53">
        <v>0</v>
      </c>
      <c r="J109" s="53">
        <v>0</v>
      </c>
      <c r="K109" s="53">
        <v>0</v>
      </c>
      <c r="L109" s="53">
        <v>0</v>
      </c>
      <c r="M109" s="43"/>
      <c r="N109" s="53">
        <v>0</v>
      </c>
      <c r="O109" s="53">
        <v>0</v>
      </c>
      <c r="P109" s="53">
        <v>0</v>
      </c>
      <c r="Q109" s="53">
        <v>88831.53</v>
      </c>
    </row>
    <row r="110" spans="1:17" ht="26.45">
      <c r="A110" s="44">
        <v>2024</v>
      </c>
      <c r="B110" s="46" t="s">
        <v>1411</v>
      </c>
      <c r="C110" s="46" t="s">
        <v>8972</v>
      </c>
      <c r="D110" s="44" t="s">
        <v>109</v>
      </c>
      <c r="E110" s="45" t="s">
        <v>652</v>
      </c>
      <c r="F110" s="54">
        <v>89369.41</v>
      </c>
      <c r="G110" s="54">
        <v>0</v>
      </c>
      <c r="H110" s="54">
        <v>0</v>
      </c>
      <c r="I110" s="54">
        <v>0</v>
      </c>
      <c r="J110" s="54">
        <v>0</v>
      </c>
      <c r="K110" s="54">
        <v>0</v>
      </c>
      <c r="L110" s="54">
        <v>0</v>
      </c>
      <c r="M110" s="43"/>
      <c r="N110" s="54">
        <v>0</v>
      </c>
      <c r="O110" s="54">
        <v>0</v>
      </c>
      <c r="P110" s="54">
        <v>0</v>
      </c>
      <c r="Q110" s="54">
        <v>89369.41</v>
      </c>
    </row>
    <row r="111" spans="1:17" ht="26.45">
      <c r="A111" s="47">
        <v>2024</v>
      </c>
      <c r="B111" s="50" t="s">
        <v>1411</v>
      </c>
      <c r="C111" s="50" t="s">
        <v>8972</v>
      </c>
      <c r="D111" s="47" t="s">
        <v>110</v>
      </c>
      <c r="E111" s="48" t="s">
        <v>652</v>
      </c>
      <c r="F111" s="53">
        <v>58815.39</v>
      </c>
      <c r="G111" s="53">
        <v>3091.66</v>
      </c>
      <c r="H111" s="53">
        <v>0</v>
      </c>
      <c r="I111" s="53">
        <v>0</v>
      </c>
      <c r="J111" s="53">
        <v>0</v>
      </c>
      <c r="K111" s="53">
        <v>0</v>
      </c>
      <c r="L111" s="53">
        <v>0</v>
      </c>
      <c r="M111" s="43"/>
      <c r="N111" s="53">
        <v>0</v>
      </c>
      <c r="O111" s="53">
        <v>0</v>
      </c>
      <c r="P111" s="53">
        <v>0</v>
      </c>
      <c r="Q111" s="53">
        <v>61907.05</v>
      </c>
    </row>
    <row r="112" spans="1:17" ht="26.45">
      <c r="A112" s="44">
        <v>2024</v>
      </c>
      <c r="B112" s="46" t="s">
        <v>1411</v>
      </c>
      <c r="C112" s="46" t="s">
        <v>8972</v>
      </c>
      <c r="D112" s="44" t="s">
        <v>659</v>
      </c>
      <c r="E112" s="45" t="s">
        <v>652</v>
      </c>
      <c r="F112" s="54">
        <v>114411.02</v>
      </c>
      <c r="G112" s="54">
        <v>84855.12</v>
      </c>
      <c r="H112" s="54">
        <v>0</v>
      </c>
      <c r="I112" s="54">
        <v>0</v>
      </c>
      <c r="J112" s="54">
        <v>0</v>
      </c>
      <c r="K112" s="54">
        <v>0</v>
      </c>
      <c r="L112" s="54">
        <v>0</v>
      </c>
      <c r="M112" s="43"/>
      <c r="N112" s="54">
        <v>0</v>
      </c>
      <c r="O112" s="54">
        <v>0</v>
      </c>
      <c r="P112" s="54">
        <v>0</v>
      </c>
      <c r="Q112" s="54">
        <v>199266.14</v>
      </c>
    </row>
    <row r="113" spans="1:17" ht="26.45">
      <c r="A113" s="47">
        <v>2024</v>
      </c>
      <c r="B113" s="50" t="s">
        <v>1411</v>
      </c>
      <c r="C113" s="50" t="s">
        <v>8972</v>
      </c>
      <c r="D113" s="47" t="s">
        <v>111</v>
      </c>
      <c r="E113" s="48" t="s">
        <v>652</v>
      </c>
      <c r="F113" s="53">
        <v>87828.67</v>
      </c>
      <c r="G113" s="53">
        <v>21347.83</v>
      </c>
      <c r="H113" s="53">
        <v>0</v>
      </c>
      <c r="I113" s="53">
        <v>0</v>
      </c>
      <c r="J113" s="53">
        <v>0</v>
      </c>
      <c r="K113" s="53">
        <v>0</v>
      </c>
      <c r="L113" s="53">
        <v>0</v>
      </c>
      <c r="M113" s="43"/>
      <c r="N113" s="53">
        <v>0</v>
      </c>
      <c r="O113" s="53">
        <v>0</v>
      </c>
      <c r="P113" s="53">
        <v>0</v>
      </c>
      <c r="Q113" s="53">
        <v>109176.5</v>
      </c>
    </row>
    <row r="114" spans="1:17" ht="26.45">
      <c r="A114" s="44">
        <v>2024</v>
      </c>
      <c r="B114" s="46" t="s">
        <v>1411</v>
      </c>
      <c r="C114" s="46" t="s">
        <v>8972</v>
      </c>
      <c r="D114" s="44" t="s">
        <v>656</v>
      </c>
      <c r="E114" s="45" t="s">
        <v>652</v>
      </c>
      <c r="F114" s="54">
        <v>82003.490000000005</v>
      </c>
      <c r="G114" s="54">
        <v>68246.55</v>
      </c>
      <c r="H114" s="54">
        <v>0</v>
      </c>
      <c r="I114" s="54">
        <v>0</v>
      </c>
      <c r="J114" s="54">
        <v>0</v>
      </c>
      <c r="K114" s="54">
        <v>0</v>
      </c>
      <c r="L114" s="54">
        <v>0</v>
      </c>
      <c r="M114" s="43"/>
      <c r="N114" s="54">
        <v>0</v>
      </c>
      <c r="O114" s="54">
        <v>0</v>
      </c>
      <c r="P114" s="54">
        <v>0</v>
      </c>
      <c r="Q114" s="54">
        <v>150250.04</v>
      </c>
    </row>
    <row r="115" spans="1:17" ht="26.45">
      <c r="A115" s="47">
        <v>2024</v>
      </c>
      <c r="B115" s="50" t="s">
        <v>1411</v>
      </c>
      <c r="C115" s="50" t="s">
        <v>8972</v>
      </c>
      <c r="D115" s="47" t="s">
        <v>651</v>
      </c>
      <c r="E115" s="48" t="s">
        <v>652</v>
      </c>
      <c r="F115" s="53">
        <v>125575.76</v>
      </c>
      <c r="G115" s="53">
        <v>114824.04</v>
      </c>
      <c r="H115" s="53">
        <v>0</v>
      </c>
      <c r="I115" s="53">
        <v>0</v>
      </c>
      <c r="J115" s="53">
        <v>0</v>
      </c>
      <c r="K115" s="53">
        <v>0</v>
      </c>
      <c r="L115" s="53">
        <v>0</v>
      </c>
      <c r="M115" s="43"/>
      <c r="N115" s="53">
        <v>0</v>
      </c>
      <c r="O115" s="53">
        <v>0</v>
      </c>
      <c r="P115" s="53">
        <v>0</v>
      </c>
      <c r="Q115" s="53">
        <v>240399.8</v>
      </c>
    </row>
    <row r="116" spans="1:17" ht="26.45">
      <c r="A116" s="44">
        <v>2024</v>
      </c>
      <c r="B116" s="46" t="s">
        <v>1411</v>
      </c>
      <c r="C116" s="46" t="s">
        <v>8972</v>
      </c>
      <c r="D116" s="44" t="s">
        <v>654</v>
      </c>
      <c r="E116" s="45" t="s">
        <v>652</v>
      </c>
      <c r="F116" s="54">
        <v>147114.26999999999</v>
      </c>
      <c r="G116" s="54">
        <v>0</v>
      </c>
      <c r="H116" s="54">
        <v>0</v>
      </c>
      <c r="I116" s="54">
        <v>0</v>
      </c>
      <c r="J116" s="54">
        <v>0</v>
      </c>
      <c r="K116" s="54">
        <v>0</v>
      </c>
      <c r="L116" s="54">
        <v>0</v>
      </c>
      <c r="M116" s="43"/>
      <c r="N116" s="54">
        <v>0</v>
      </c>
      <c r="O116" s="54">
        <v>0</v>
      </c>
      <c r="P116" s="54">
        <v>0</v>
      </c>
      <c r="Q116" s="54">
        <v>147114.26999999999</v>
      </c>
    </row>
    <row r="117" spans="1:17" ht="26.45">
      <c r="A117" s="47">
        <v>2024</v>
      </c>
      <c r="B117" s="50" t="s">
        <v>1411</v>
      </c>
      <c r="C117" s="50" t="s">
        <v>8972</v>
      </c>
      <c r="D117" s="47" t="s">
        <v>653</v>
      </c>
      <c r="E117" s="48" t="s">
        <v>652</v>
      </c>
      <c r="F117" s="53">
        <v>127145.33</v>
      </c>
      <c r="G117" s="53">
        <v>51462.96</v>
      </c>
      <c r="H117" s="53">
        <v>0</v>
      </c>
      <c r="I117" s="53">
        <v>0</v>
      </c>
      <c r="J117" s="53">
        <v>0</v>
      </c>
      <c r="K117" s="53">
        <v>0</v>
      </c>
      <c r="L117" s="53">
        <v>0</v>
      </c>
      <c r="M117" s="43"/>
      <c r="N117" s="53">
        <v>0</v>
      </c>
      <c r="O117" s="53">
        <v>0</v>
      </c>
      <c r="P117" s="53">
        <v>0</v>
      </c>
      <c r="Q117" s="53">
        <v>178608.29</v>
      </c>
    </row>
    <row r="118" spans="1:17" ht="26.45">
      <c r="A118" s="44">
        <v>2024</v>
      </c>
      <c r="B118" s="46" t="s">
        <v>1411</v>
      </c>
      <c r="C118" s="46" t="s">
        <v>8972</v>
      </c>
      <c r="D118" s="44" t="s">
        <v>112</v>
      </c>
      <c r="E118" s="45" t="s">
        <v>652</v>
      </c>
      <c r="F118" s="54">
        <v>89473.88</v>
      </c>
      <c r="G118" s="54">
        <v>25300</v>
      </c>
      <c r="H118" s="54">
        <v>0</v>
      </c>
      <c r="I118" s="54">
        <v>0</v>
      </c>
      <c r="J118" s="54">
        <v>0</v>
      </c>
      <c r="K118" s="54">
        <v>0</v>
      </c>
      <c r="L118" s="54">
        <v>0</v>
      </c>
      <c r="M118" s="43"/>
      <c r="N118" s="54">
        <v>0</v>
      </c>
      <c r="O118" s="54">
        <v>0</v>
      </c>
      <c r="P118" s="54">
        <v>0</v>
      </c>
      <c r="Q118" s="54">
        <v>114773.88</v>
      </c>
    </row>
    <row r="119" spans="1:17" ht="26.45">
      <c r="A119" s="47">
        <v>2024</v>
      </c>
      <c r="B119" s="50" t="s">
        <v>1411</v>
      </c>
      <c r="C119" s="50" t="s">
        <v>8972</v>
      </c>
      <c r="D119" s="47" t="s">
        <v>113</v>
      </c>
      <c r="E119" s="48" t="s">
        <v>652</v>
      </c>
      <c r="F119" s="53">
        <v>103012.09</v>
      </c>
      <c r="G119" s="53">
        <v>0</v>
      </c>
      <c r="H119" s="53">
        <v>0</v>
      </c>
      <c r="I119" s="53">
        <v>0</v>
      </c>
      <c r="J119" s="53">
        <v>0</v>
      </c>
      <c r="K119" s="53">
        <v>0</v>
      </c>
      <c r="L119" s="53">
        <v>0</v>
      </c>
      <c r="M119" s="43"/>
      <c r="N119" s="53">
        <v>0</v>
      </c>
      <c r="O119" s="53">
        <v>0</v>
      </c>
      <c r="P119" s="53">
        <v>0</v>
      </c>
      <c r="Q119" s="53">
        <v>103012.09</v>
      </c>
    </row>
    <row r="120" spans="1:17" ht="26.45">
      <c r="A120" s="44">
        <v>2024</v>
      </c>
      <c r="B120" s="46" t="s">
        <v>1411</v>
      </c>
      <c r="C120" s="46" t="s">
        <v>8972</v>
      </c>
      <c r="D120" s="44" t="s">
        <v>658</v>
      </c>
      <c r="E120" s="45" t="s">
        <v>652</v>
      </c>
      <c r="F120" s="54">
        <v>103118.21</v>
      </c>
      <c r="G120" s="54">
        <v>0</v>
      </c>
      <c r="H120" s="54">
        <v>0</v>
      </c>
      <c r="I120" s="54">
        <v>0</v>
      </c>
      <c r="J120" s="54">
        <v>0</v>
      </c>
      <c r="K120" s="54">
        <v>0</v>
      </c>
      <c r="L120" s="54">
        <v>0</v>
      </c>
      <c r="M120" s="43"/>
      <c r="N120" s="54">
        <v>0</v>
      </c>
      <c r="O120" s="54">
        <v>0</v>
      </c>
      <c r="P120" s="54">
        <v>0</v>
      </c>
      <c r="Q120" s="54">
        <v>103118.21</v>
      </c>
    </row>
    <row r="121" spans="1:17" ht="26.45">
      <c r="A121" s="47">
        <v>2024</v>
      </c>
      <c r="B121" s="50" t="s">
        <v>1411</v>
      </c>
      <c r="C121" s="50" t="s">
        <v>8972</v>
      </c>
      <c r="D121" s="47" t="s">
        <v>114</v>
      </c>
      <c r="E121" s="48" t="s">
        <v>652</v>
      </c>
      <c r="F121" s="53">
        <v>79739.55</v>
      </c>
      <c r="G121" s="53">
        <v>82976.67</v>
      </c>
      <c r="H121" s="53">
        <v>0</v>
      </c>
      <c r="I121" s="53">
        <v>0</v>
      </c>
      <c r="J121" s="53">
        <v>0</v>
      </c>
      <c r="K121" s="53">
        <v>0</v>
      </c>
      <c r="L121" s="53">
        <v>0</v>
      </c>
      <c r="M121" s="43"/>
      <c r="N121" s="53">
        <v>0</v>
      </c>
      <c r="O121" s="53">
        <v>0</v>
      </c>
      <c r="P121" s="53">
        <v>0</v>
      </c>
      <c r="Q121" s="53">
        <v>162716.22</v>
      </c>
    </row>
    <row r="122" spans="1:17" ht="26.45">
      <c r="A122" s="44">
        <v>2024</v>
      </c>
      <c r="B122" s="46" t="s">
        <v>1411</v>
      </c>
      <c r="C122" s="46" t="s">
        <v>8972</v>
      </c>
      <c r="D122" s="44" t="s">
        <v>115</v>
      </c>
      <c r="E122" s="45" t="s">
        <v>660</v>
      </c>
      <c r="F122" s="54">
        <v>94861.45</v>
      </c>
      <c r="G122" s="54">
        <v>13129.47</v>
      </c>
      <c r="H122" s="54">
        <v>0</v>
      </c>
      <c r="I122" s="54">
        <v>0</v>
      </c>
      <c r="J122" s="54">
        <v>0</v>
      </c>
      <c r="K122" s="54">
        <v>0</v>
      </c>
      <c r="L122" s="54">
        <v>0</v>
      </c>
      <c r="M122" s="43"/>
      <c r="N122" s="54">
        <v>0</v>
      </c>
      <c r="O122" s="54">
        <v>0</v>
      </c>
      <c r="P122" s="54">
        <v>0</v>
      </c>
      <c r="Q122" s="54">
        <v>107990.92</v>
      </c>
    </row>
    <row r="123" spans="1:17" ht="26.45">
      <c r="A123" s="47">
        <v>2024</v>
      </c>
      <c r="B123" s="50" t="s">
        <v>1411</v>
      </c>
      <c r="C123" s="50" t="s">
        <v>8972</v>
      </c>
      <c r="D123" s="47" t="s">
        <v>116</v>
      </c>
      <c r="E123" s="48" t="s">
        <v>661</v>
      </c>
      <c r="F123" s="53">
        <v>65527.55</v>
      </c>
      <c r="G123" s="53">
        <v>0</v>
      </c>
      <c r="H123" s="53">
        <v>0</v>
      </c>
      <c r="I123" s="53">
        <v>0</v>
      </c>
      <c r="J123" s="53">
        <v>0</v>
      </c>
      <c r="K123" s="53">
        <v>0</v>
      </c>
      <c r="L123" s="53">
        <v>0</v>
      </c>
      <c r="M123" s="43"/>
      <c r="N123" s="53">
        <v>0</v>
      </c>
      <c r="O123" s="53">
        <v>0</v>
      </c>
      <c r="P123" s="53">
        <v>0</v>
      </c>
      <c r="Q123" s="53">
        <v>65527.55</v>
      </c>
    </row>
    <row r="124" spans="1:17" ht="26.45">
      <c r="A124" s="44">
        <v>2024</v>
      </c>
      <c r="B124" s="46" t="s">
        <v>1411</v>
      </c>
      <c r="C124" s="46" t="s">
        <v>8972</v>
      </c>
      <c r="D124" s="44" t="s">
        <v>117</v>
      </c>
      <c r="E124" s="45" t="s">
        <v>662</v>
      </c>
      <c r="F124" s="54">
        <v>59570.06</v>
      </c>
      <c r="G124" s="54">
        <v>0</v>
      </c>
      <c r="H124" s="54">
        <v>0</v>
      </c>
      <c r="I124" s="54">
        <v>0</v>
      </c>
      <c r="J124" s="54">
        <v>0</v>
      </c>
      <c r="K124" s="54">
        <v>0</v>
      </c>
      <c r="L124" s="54">
        <v>0</v>
      </c>
      <c r="M124" s="43"/>
      <c r="N124" s="54">
        <v>0</v>
      </c>
      <c r="O124" s="54">
        <v>0</v>
      </c>
      <c r="P124" s="54">
        <v>0</v>
      </c>
      <c r="Q124" s="54">
        <v>59570.06</v>
      </c>
    </row>
    <row r="125" spans="1:17" ht="39.6">
      <c r="A125" s="47">
        <v>2024</v>
      </c>
      <c r="B125" s="50" t="s">
        <v>1411</v>
      </c>
      <c r="C125" s="50" t="s">
        <v>8972</v>
      </c>
      <c r="D125" s="47" t="s">
        <v>118</v>
      </c>
      <c r="E125" s="48" t="s">
        <v>663</v>
      </c>
      <c r="F125" s="53">
        <v>418075.62</v>
      </c>
      <c r="G125" s="53">
        <v>0</v>
      </c>
      <c r="H125" s="53">
        <v>0</v>
      </c>
      <c r="I125" s="53">
        <v>0</v>
      </c>
      <c r="J125" s="53">
        <v>0</v>
      </c>
      <c r="K125" s="53">
        <v>0</v>
      </c>
      <c r="L125" s="53">
        <v>0</v>
      </c>
      <c r="M125" s="43"/>
      <c r="N125" s="53">
        <v>0</v>
      </c>
      <c r="O125" s="53">
        <v>0</v>
      </c>
      <c r="P125" s="53">
        <v>0</v>
      </c>
      <c r="Q125" s="53">
        <v>418075.62</v>
      </c>
    </row>
    <row r="126" spans="1:17" ht="26.45">
      <c r="A126" s="44">
        <v>2024</v>
      </c>
      <c r="B126" s="46" t="s">
        <v>1411</v>
      </c>
      <c r="C126" s="46" t="s">
        <v>8972</v>
      </c>
      <c r="D126" s="44" t="s">
        <v>119</v>
      </c>
      <c r="E126" s="45" t="s">
        <v>664</v>
      </c>
      <c r="F126" s="54">
        <v>281849.86</v>
      </c>
      <c r="G126" s="54">
        <v>10738.05</v>
      </c>
      <c r="H126" s="54">
        <v>0</v>
      </c>
      <c r="I126" s="54">
        <v>0</v>
      </c>
      <c r="J126" s="54">
        <v>0</v>
      </c>
      <c r="K126" s="54">
        <v>0</v>
      </c>
      <c r="L126" s="54">
        <v>0</v>
      </c>
      <c r="M126" s="43"/>
      <c r="N126" s="54">
        <v>0</v>
      </c>
      <c r="O126" s="54">
        <v>0</v>
      </c>
      <c r="P126" s="54">
        <v>0</v>
      </c>
      <c r="Q126" s="54">
        <v>292587.90999999997</v>
      </c>
    </row>
    <row r="127" spans="1:17" ht="26.45">
      <c r="A127" s="47">
        <v>2024</v>
      </c>
      <c r="B127" s="50" t="s">
        <v>1411</v>
      </c>
      <c r="C127" s="50" t="s">
        <v>8972</v>
      </c>
      <c r="D127" s="47" t="s">
        <v>665</v>
      </c>
      <c r="E127" s="48" t="s">
        <v>666</v>
      </c>
      <c r="F127" s="53">
        <v>34011.94</v>
      </c>
      <c r="G127" s="53">
        <v>8676.86</v>
      </c>
      <c r="H127" s="53">
        <v>0</v>
      </c>
      <c r="I127" s="53">
        <v>0</v>
      </c>
      <c r="J127" s="53">
        <v>0</v>
      </c>
      <c r="K127" s="53">
        <v>0</v>
      </c>
      <c r="L127" s="53">
        <v>0</v>
      </c>
      <c r="M127" s="43"/>
      <c r="N127" s="53">
        <v>0</v>
      </c>
      <c r="O127" s="53">
        <v>0</v>
      </c>
      <c r="P127" s="53">
        <v>0</v>
      </c>
      <c r="Q127" s="53">
        <v>42688.800000000003</v>
      </c>
    </row>
    <row r="128" spans="1:17" ht="26.45">
      <c r="A128" s="44">
        <v>2024</v>
      </c>
      <c r="B128" s="46" t="s">
        <v>1411</v>
      </c>
      <c r="C128" s="46" t="s">
        <v>8972</v>
      </c>
      <c r="D128" s="44" t="s">
        <v>120</v>
      </c>
      <c r="E128" s="45" t="s">
        <v>667</v>
      </c>
      <c r="F128" s="54">
        <v>129617.81</v>
      </c>
      <c r="G128" s="54">
        <v>0</v>
      </c>
      <c r="H128" s="54">
        <v>0</v>
      </c>
      <c r="I128" s="54">
        <v>0</v>
      </c>
      <c r="J128" s="54">
        <v>0</v>
      </c>
      <c r="K128" s="54">
        <v>0</v>
      </c>
      <c r="L128" s="54">
        <v>0</v>
      </c>
      <c r="M128" s="43"/>
      <c r="N128" s="54">
        <v>0</v>
      </c>
      <c r="O128" s="54">
        <v>0</v>
      </c>
      <c r="P128" s="54">
        <v>0</v>
      </c>
      <c r="Q128" s="54">
        <v>129617.81</v>
      </c>
    </row>
    <row r="129" spans="1:17" ht="26.45">
      <c r="A129" s="47">
        <v>2024</v>
      </c>
      <c r="B129" s="50" t="s">
        <v>1411</v>
      </c>
      <c r="C129" s="50" t="s">
        <v>8972</v>
      </c>
      <c r="D129" s="47" t="s">
        <v>668</v>
      </c>
      <c r="E129" s="48" t="s">
        <v>669</v>
      </c>
      <c r="F129" s="53">
        <v>12591.9</v>
      </c>
      <c r="G129" s="53">
        <v>0</v>
      </c>
      <c r="H129" s="53">
        <v>0</v>
      </c>
      <c r="I129" s="53">
        <v>0</v>
      </c>
      <c r="J129" s="53">
        <v>0</v>
      </c>
      <c r="K129" s="53">
        <v>0</v>
      </c>
      <c r="L129" s="53">
        <v>0</v>
      </c>
      <c r="M129" s="43"/>
      <c r="N129" s="53">
        <v>0</v>
      </c>
      <c r="O129" s="53">
        <v>0</v>
      </c>
      <c r="P129" s="53">
        <v>0</v>
      </c>
      <c r="Q129" s="53">
        <v>12591.9</v>
      </c>
    </row>
    <row r="130" spans="1:17" ht="26.45">
      <c r="A130" s="44">
        <v>2024</v>
      </c>
      <c r="B130" s="46" t="s">
        <v>1411</v>
      </c>
      <c r="C130" s="46" t="s">
        <v>8972</v>
      </c>
      <c r="D130" s="44" t="s">
        <v>121</v>
      </c>
      <c r="E130" s="45" t="s">
        <v>670</v>
      </c>
      <c r="F130" s="54">
        <v>434374.1</v>
      </c>
      <c r="G130" s="54">
        <v>31627.89</v>
      </c>
      <c r="H130" s="54">
        <v>0</v>
      </c>
      <c r="I130" s="54">
        <v>0</v>
      </c>
      <c r="J130" s="54">
        <v>0</v>
      </c>
      <c r="K130" s="54">
        <v>0</v>
      </c>
      <c r="L130" s="54">
        <v>0</v>
      </c>
      <c r="M130" s="43"/>
      <c r="N130" s="54">
        <v>0</v>
      </c>
      <c r="O130" s="54">
        <v>0</v>
      </c>
      <c r="P130" s="54">
        <v>0</v>
      </c>
      <c r="Q130" s="54">
        <v>466001.99</v>
      </c>
    </row>
    <row r="131" spans="1:17" ht="26.45">
      <c r="A131" s="47">
        <v>2024</v>
      </c>
      <c r="B131" s="50" t="s">
        <v>1411</v>
      </c>
      <c r="C131" s="50" t="s">
        <v>8972</v>
      </c>
      <c r="D131" s="47" t="s">
        <v>671</v>
      </c>
      <c r="E131" s="48" t="s">
        <v>672</v>
      </c>
      <c r="F131" s="53">
        <v>94121.96</v>
      </c>
      <c r="G131" s="53">
        <v>0</v>
      </c>
      <c r="H131" s="53">
        <v>0</v>
      </c>
      <c r="I131" s="53">
        <v>0</v>
      </c>
      <c r="J131" s="53">
        <v>0</v>
      </c>
      <c r="K131" s="53">
        <v>0</v>
      </c>
      <c r="L131" s="53">
        <v>0</v>
      </c>
      <c r="M131" s="43"/>
      <c r="N131" s="53">
        <v>0</v>
      </c>
      <c r="O131" s="53">
        <v>0</v>
      </c>
      <c r="P131" s="53">
        <v>0</v>
      </c>
      <c r="Q131" s="53">
        <v>94121.96</v>
      </c>
    </row>
    <row r="132" spans="1:17" ht="26.45">
      <c r="A132" s="44">
        <v>2024</v>
      </c>
      <c r="B132" s="46" t="s">
        <v>1411</v>
      </c>
      <c r="C132" s="46" t="s">
        <v>8972</v>
      </c>
      <c r="D132" s="44" t="s">
        <v>122</v>
      </c>
      <c r="E132" s="45" t="s">
        <v>673</v>
      </c>
      <c r="F132" s="54">
        <v>16676.34</v>
      </c>
      <c r="G132" s="54">
        <v>0</v>
      </c>
      <c r="H132" s="54">
        <v>0</v>
      </c>
      <c r="I132" s="54">
        <v>0</v>
      </c>
      <c r="J132" s="54">
        <v>0</v>
      </c>
      <c r="K132" s="54">
        <v>0</v>
      </c>
      <c r="L132" s="54">
        <v>0</v>
      </c>
      <c r="M132" s="43"/>
      <c r="N132" s="54">
        <v>0</v>
      </c>
      <c r="O132" s="54">
        <v>0</v>
      </c>
      <c r="P132" s="54">
        <v>0</v>
      </c>
      <c r="Q132" s="54">
        <v>16676.34</v>
      </c>
    </row>
    <row r="133" spans="1:17" ht="26.45">
      <c r="A133" s="47">
        <v>2024</v>
      </c>
      <c r="B133" s="50" t="s">
        <v>1411</v>
      </c>
      <c r="C133" s="50" t="s">
        <v>8972</v>
      </c>
      <c r="D133" s="47" t="s">
        <v>123</v>
      </c>
      <c r="E133" s="48" t="s">
        <v>674</v>
      </c>
      <c r="F133" s="53">
        <v>9399.57</v>
      </c>
      <c r="G133" s="53">
        <v>6785.69</v>
      </c>
      <c r="H133" s="53">
        <v>0</v>
      </c>
      <c r="I133" s="53">
        <v>0</v>
      </c>
      <c r="J133" s="53">
        <v>0</v>
      </c>
      <c r="K133" s="53">
        <v>0</v>
      </c>
      <c r="L133" s="53">
        <v>0</v>
      </c>
      <c r="M133" s="43"/>
      <c r="N133" s="53">
        <v>0</v>
      </c>
      <c r="O133" s="53">
        <v>0</v>
      </c>
      <c r="P133" s="53">
        <v>0</v>
      </c>
      <c r="Q133" s="53">
        <v>16185.26</v>
      </c>
    </row>
    <row r="134" spans="1:17" ht="26.45">
      <c r="A134" s="44">
        <v>2024</v>
      </c>
      <c r="B134" s="46" t="s">
        <v>1411</v>
      </c>
      <c r="C134" s="46" t="s">
        <v>8972</v>
      </c>
      <c r="D134" s="44" t="s">
        <v>124</v>
      </c>
      <c r="E134" s="45" t="s">
        <v>675</v>
      </c>
      <c r="F134" s="54">
        <v>21451.25</v>
      </c>
      <c r="G134" s="54">
        <v>0</v>
      </c>
      <c r="H134" s="54">
        <v>0</v>
      </c>
      <c r="I134" s="54">
        <v>0</v>
      </c>
      <c r="J134" s="54">
        <v>0</v>
      </c>
      <c r="K134" s="54">
        <v>0</v>
      </c>
      <c r="L134" s="54">
        <v>0</v>
      </c>
      <c r="M134" s="43"/>
      <c r="N134" s="54">
        <v>0</v>
      </c>
      <c r="O134" s="54">
        <v>0</v>
      </c>
      <c r="P134" s="54">
        <v>0</v>
      </c>
      <c r="Q134" s="54">
        <v>21451.25</v>
      </c>
    </row>
    <row r="135" spans="1:17" ht="26.45">
      <c r="A135" s="47">
        <v>2024</v>
      </c>
      <c r="B135" s="50" t="s">
        <v>1411</v>
      </c>
      <c r="C135" s="50" t="s">
        <v>8972</v>
      </c>
      <c r="D135" s="47" t="s">
        <v>125</v>
      </c>
      <c r="E135" s="48" t="s">
        <v>676</v>
      </c>
      <c r="F135" s="53">
        <v>979918.5</v>
      </c>
      <c r="G135" s="53">
        <v>29638.87</v>
      </c>
      <c r="H135" s="53">
        <v>0</v>
      </c>
      <c r="I135" s="53">
        <v>0</v>
      </c>
      <c r="J135" s="53">
        <v>0</v>
      </c>
      <c r="K135" s="53">
        <v>0</v>
      </c>
      <c r="L135" s="53">
        <v>0</v>
      </c>
      <c r="M135" s="43"/>
      <c r="N135" s="53">
        <v>0</v>
      </c>
      <c r="O135" s="53">
        <v>0</v>
      </c>
      <c r="P135" s="53">
        <v>0</v>
      </c>
      <c r="Q135" s="53">
        <v>1009557.37</v>
      </c>
    </row>
    <row r="136" spans="1:17" ht="26.45">
      <c r="A136" s="44">
        <v>2024</v>
      </c>
      <c r="B136" s="46" t="s">
        <v>1411</v>
      </c>
      <c r="C136" s="46" t="s">
        <v>8972</v>
      </c>
      <c r="D136" s="44" t="s">
        <v>677</v>
      </c>
      <c r="E136" s="45" t="s">
        <v>678</v>
      </c>
      <c r="F136" s="54">
        <v>920896.16</v>
      </c>
      <c r="G136" s="54">
        <v>2399.15</v>
      </c>
      <c r="H136" s="54">
        <v>0</v>
      </c>
      <c r="I136" s="54">
        <v>0</v>
      </c>
      <c r="J136" s="54">
        <v>0</v>
      </c>
      <c r="K136" s="54">
        <v>0</v>
      </c>
      <c r="L136" s="54">
        <v>0</v>
      </c>
      <c r="M136" s="43"/>
      <c r="N136" s="54">
        <v>0</v>
      </c>
      <c r="O136" s="54">
        <v>0</v>
      </c>
      <c r="P136" s="54">
        <v>0</v>
      </c>
      <c r="Q136" s="54">
        <v>923295.31</v>
      </c>
    </row>
    <row r="137" spans="1:17" ht="26.45">
      <c r="A137" s="47">
        <v>2024</v>
      </c>
      <c r="B137" s="50" t="s">
        <v>1411</v>
      </c>
      <c r="C137" s="50" t="s">
        <v>8972</v>
      </c>
      <c r="D137" s="47" t="s">
        <v>126</v>
      </c>
      <c r="E137" s="48" t="s">
        <v>679</v>
      </c>
      <c r="F137" s="53">
        <v>572240.47</v>
      </c>
      <c r="G137" s="53">
        <v>129304.03</v>
      </c>
      <c r="H137" s="53">
        <v>0</v>
      </c>
      <c r="I137" s="53">
        <v>0</v>
      </c>
      <c r="J137" s="53">
        <v>0</v>
      </c>
      <c r="K137" s="53">
        <v>0</v>
      </c>
      <c r="L137" s="53">
        <v>0</v>
      </c>
      <c r="M137" s="43"/>
      <c r="N137" s="53">
        <v>0</v>
      </c>
      <c r="O137" s="53">
        <v>0</v>
      </c>
      <c r="P137" s="53">
        <v>0</v>
      </c>
      <c r="Q137" s="53">
        <v>701544.5</v>
      </c>
    </row>
    <row r="138" spans="1:17" ht="52.9">
      <c r="A138" s="44">
        <v>2024</v>
      </c>
      <c r="B138" s="46" t="s">
        <v>1411</v>
      </c>
      <c r="C138" s="46" t="s">
        <v>8972</v>
      </c>
      <c r="D138" s="44" t="s">
        <v>127</v>
      </c>
      <c r="E138" s="45" t="s">
        <v>680</v>
      </c>
      <c r="F138" s="54">
        <v>110161.74</v>
      </c>
      <c r="G138" s="54">
        <v>0</v>
      </c>
      <c r="H138" s="54">
        <v>0</v>
      </c>
      <c r="I138" s="54">
        <v>0</v>
      </c>
      <c r="J138" s="54">
        <v>0</v>
      </c>
      <c r="K138" s="54">
        <v>0</v>
      </c>
      <c r="L138" s="54">
        <v>0</v>
      </c>
      <c r="M138" s="43"/>
      <c r="N138" s="54">
        <v>0</v>
      </c>
      <c r="O138" s="54">
        <v>0</v>
      </c>
      <c r="P138" s="54">
        <v>0</v>
      </c>
      <c r="Q138" s="54">
        <v>110161.74</v>
      </c>
    </row>
    <row r="139" spans="1:17" ht="39.6">
      <c r="A139" s="47">
        <v>2024</v>
      </c>
      <c r="B139" s="50" t="s">
        <v>1411</v>
      </c>
      <c r="C139" s="50" t="s">
        <v>8972</v>
      </c>
      <c r="D139" s="47" t="s">
        <v>128</v>
      </c>
      <c r="E139" s="48" t="s">
        <v>681</v>
      </c>
      <c r="F139" s="53">
        <v>32682.7</v>
      </c>
      <c r="G139" s="53">
        <v>0</v>
      </c>
      <c r="H139" s="53">
        <v>0</v>
      </c>
      <c r="I139" s="53">
        <v>0</v>
      </c>
      <c r="J139" s="53">
        <v>0</v>
      </c>
      <c r="K139" s="53">
        <v>0</v>
      </c>
      <c r="L139" s="53">
        <v>0</v>
      </c>
      <c r="M139" s="43"/>
      <c r="N139" s="53">
        <v>0</v>
      </c>
      <c r="O139" s="53">
        <v>0</v>
      </c>
      <c r="P139" s="53">
        <v>0</v>
      </c>
      <c r="Q139" s="53">
        <v>32682.7</v>
      </c>
    </row>
    <row r="140" spans="1:17" ht="26.45">
      <c r="A140" s="44">
        <v>2024</v>
      </c>
      <c r="B140" s="46" t="s">
        <v>1411</v>
      </c>
      <c r="C140" s="46" t="s">
        <v>8972</v>
      </c>
      <c r="D140" s="44" t="s">
        <v>129</v>
      </c>
      <c r="E140" s="45" t="s">
        <v>682</v>
      </c>
      <c r="F140" s="54">
        <v>89321.46</v>
      </c>
      <c r="G140" s="54">
        <v>0</v>
      </c>
      <c r="H140" s="54">
        <v>0</v>
      </c>
      <c r="I140" s="54">
        <v>0</v>
      </c>
      <c r="J140" s="54">
        <v>0</v>
      </c>
      <c r="K140" s="54">
        <v>0</v>
      </c>
      <c r="L140" s="54">
        <v>0</v>
      </c>
      <c r="M140" s="43"/>
      <c r="N140" s="54">
        <v>0</v>
      </c>
      <c r="O140" s="54">
        <v>0</v>
      </c>
      <c r="P140" s="54">
        <v>0</v>
      </c>
      <c r="Q140" s="54">
        <v>89321.46</v>
      </c>
    </row>
    <row r="141" spans="1:17" ht="26.45">
      <c r="A141" s="47">
        <v>2024</v>
      </c>
      <c r="B141" s="50" t="s">
        <v>1411</v>
      </c>
      <c r="C141" s="50" t="s">
        <v>8972</v>
      </c>
      <c r="D141" s="47" t="s">
        <v>130</v>
      </c>
      <c r="E141" s="48" t="s">
        <v>683</v>
      </c>
      <c r="F141" s="53">
        <v>29089.66</v>
      </c>
      <c r="G141" s="53">
        <v>0</v>
      </c>
      <c r="H141" s="53">
        <v>0</v>
      </c>
      <c r="I141" s="53">
        <v>0</v>
      </c>
      <c r="J141" s="53">
        <v>0</v>
      </c>
      <c r="K141" s="53">
        <v>0</v>
      </c>
      <c r="L141" s="53">
        <v>0</v>
      </c>
      <c r="M141" s="43"/>
      <c r="N141" s="53">
        <v>0</v>
      </c>
      <c r="O141" s="53">
        <v>0</v>
      </c>
      <c r="P141" s="53">
        <v>0</v>
      </c>
      <c r="Q141" s="53">
        <v>29089.66</v>
      </c>
    </row>
    <row r="142" spans="1:17" ht="26.45">
      <c r="A142" s="44">
        <v>2024</v>
      </c>
      <c r="B142" s="46" t="s">
        <v>1411</v>
      </c>
      <c r="C142" s="46" t="s">
        <v>8972</v>
      </c>
      <c r="D142" s="44" t="s">
        <v>131</v>
      </c>
      <c r="E142" s="45" t="s">
        <v>684</v>
      </c>
      <c r="F142" s="54">
        <v>100829.43</v>
      </c>
      <c r="G142" s="54">
        <v>0</v>
      </c>
      <c r="H142" s="54">
        <v>0</v>
      </c>
      <c r="I142" s="54">
        <v>0</v>
      </c>
      <c r="J142" s="54">
        <v>0</v>
      </c>
      <c r="K142" s="54">
        <v>0</v>
      </c>
      <c r="L142" s="54">
        <v>0</v>
      </c>
      <c r="M142" s="43"/>
      <c r="N142" s="54">
        <v>0</v>
      </c>
      <c r="O142" s="54">
        <v>0</v>
      </c>
      <c r="P142" s="54">
        <v>0</v>
      </c>
      <c r="Q142" s="54">
        <v>100829.43</v>
      </c>
    </row>
    <row r="143" spans="1:17" ht="26.45">
      <c r="A143" s="47">
        <v>2024</v>
      </c>
      <c r="B143" s="50" t="s">
        <v>1411</v>
      </c>
      <c r="C143" s="50" t="s">
        <v>8972</v>
      </c>
      <c r="D143" s="47" t="s">
        <v>132</v>
      </c>
      <c r="E143" s="48" t="s">
        <v>685</v>
      </c>
      <c r="F143" s="53">
        <v>373248.52</v>
      </c>
      <c r="G143" s="53">
        <v>54217.21</v>
      </c>
      <c r="H143" s="53">
        <v>0</v>
      </c>
      <c r="I143" s="53">
        <v>0</v>
      </c>
      <c r="J143" s="53">
        <v>0</v>
      </c>
      <c r="K143" s="53">
        <v>0</v>
      </c>
      <c r="L143" s="53">
        <v>0</v>
      </c>
      <c r="M143" s="43"/>
      <c r="N143" s="53">
        <v>0</v>
      </c>
      <c r="O143" s="53">
        <v>0</v>
      </c>
      <c r="P143" s="53">
        <v>0</v>
      </c>
      <c r="Q143" s="53">
        <v>427465.73</v>
      </c>
    </row>
    <row r="144" spans="1:17" ht="26.45">
      <c r="A144" s="44">
        <v>2024</v>
      </c>
      <c r="B144" s="46" t="s">
        <v>1411</v>
      </c>
      <c r="C144" s="46" t="s">
        <v>8972</v>
      </c>
      <c r="D144" s="44" t="s">
        <v>133</v>
      </c>
      <c r="E144" s="45" t="s">
        <v>686</v>
      </c>
      <c r="F144" s="54">
        <v>77811.240000000005</v>
      </c>
      <c r="G144" s="54">
        <v>0</v>
      </c>
      <c r="H144" s="54">
        <v>0</v>
      </c>
      <c r="I144" s="54">
        <v>0</v>
      </c>
      <c r="J144" s="54">
        <v>0</v>
      </c>
      <c r="K144" s="54">
        <v>0</v>
      </c>
      <c r="L144" s="54">
        <v>0</v>
      </c>
      <c r="M144" s="43"/>
      <c r="N144" s="54">
        <v>0</v>
      </c>
      <c r="O144" s="54">
        <v>0</v>
      </c>
      <c r="P144" s="54">
        <v>0</v>
      </c>
      <c r="Q144" s="54">
        <v>77811.240000000005</v>
      </c>
    </row>
    <row r="145" spans="1:17" ht="26.45">
      <c r="A145" s="47">
        <v>2024</v>
      </c>
      <c r="B145" s="50" t="s">
        <v>1411</v>
      </c>
      <c r="C145" s="50" t="s">
        <v>8972</v>
      </c>
      <c r="D145" s="47" t="s">
        <v>134</v>
      </c>
      <c r="E145" s="48" t="s">
        <v>686</v>
      </c>
      <c r="F145" s="53">
        <v>47653.51</v>
      </c>
      <c r="G145" s="53">
        <v>0</v>
      </c>
      <c r="H145" s="53">
        <v>0</v>
      </c>
      <c r="I145" s="53">
        <v>0</v>
      </c>
      <c r="J145" s="53">
        <v>0</v>
      </c>
      <c r="K145" s="53">
        <v>0</v>
      </c>
      <c r="L145" s="53">
        <v>0</v>
      </c>
      <c r="M145" s="43"/>
      <c r="N145" s="53">
        <v>0</v>
      </c>
      <c r="O145" s="53">
        <v>0</v>
      </c>
      <c r="P145" s="53">
        <v>0</v>
      </c>
      <c r="Q145" s="53">
        <v>47653.51</v>
      </c>
    </row>
    <row r="146" spans="1:17" ht="26.45">
      <c r="A146" s="44">
        <v>2024</v>
      </c>
      <c r="B146" s="46" t="s">
        <v>1411</v>
      </c>
      <c r="C146" s="46" t="s">
        <v>8972</v>
      </c>
      <c r="D146" s="44" t="s">
        <v>135</v>
      </c>
      <c r="E146" s="45" t="s">
        <v>687</v>
      </c>
      <c r="F146" s="54">
        <v>51446.54</v>
      </c>
      <c r="G146" s="54">
        <v>3032.81</v>
      </c>
      <c r="H146" s="54">
        <v>0</v>
      </c>
      <c r="I146" s="54">
        <v>0</v>
      </c>
      <c r="J146" s="54">
        <v>0</v>
      </c>
      <c r="K146" s="54">
        <v>0</v>
      </c>
      <c r="L146" s="54">
        <v>0</v>
      </c>
      <c r="M146" s="43"/>
      <c r="N146" s="54">
        <v>0</v>
      </c>
      <c r="O146" s="54">
        <v>0</v>
      </c>
      <c r="P146" s="54">
        <v>0</v>
      </c>
      <c r="Q146" s="54">
        <v>54479.35</v>
      </c>
    </row>
    <row r="147" spans="1:17" ht="26.45">
      <c r="A147" s="47">
        <v>2024</v>
      </c>
      <c r="B147" s="50" t="s">
        <v>1411</v>
      </c>
      <c r="C147" s="50" t="s">
        <v>8972</v>
      </c>
      <c r="D147" s="47" t="s">
        <v>136</v>
      </c>
      <c r="E147" s="48" t="s">
        <v>688</v>
      </c>
      <c r="F147" s="53">
        <v>9583.0400000000009</v>
      </c>
      <c r="G147" s="53">
        <v>0</v>
      </c>
      <c r="H147" s="53">
        <v>0</v>
      </c>
      <c r="I147" s="53">
        <v>0</v>
      </c>
      <c r="J147" s="53">
        <v>0</v>
      </c>
      <c r="K147" s="53">
        <v>0</v>
      </c>
      <c r="L147" s="53">
        <v>-9583.0400000000009</v>
      </c>
      <c r="M147" s="43"/>
      <c r="N147" s="53">
        <v>0</v>
      </c>
      <c r="O147" s="53">
        <v>0</v>
      </c>
      <c r="P147" s="53">
        <v>0</v>
      </c>
      <c r="Q147" s="53">
        <v>0</v>
      </c>
    </row>
    <row r="148" spans="1:17" ht="26.45">
      <c r="A148" s="44">
        <v>2024</v>
      </c>
      <c r="B148" s="46" t="s">
        <v>1411</v>
      </c>
      <c r="C148" s="46" t="s">
        <v>8972</v>
      </c>
      <c r="D148" s="44" t="s">
        <v>689</v>
      </c>
      <c r="E148" s="45" t="s">
        <v>690</v>
      </c>
      <c r="F148" s="54">
        <v>20966</v>
      </c>
      <c r="G148" s="54">
        <v>0</v>
      </c>
      <c r="H148" s="54">
        <v>0</v>
      </c>
      <c r="I148" s="54">
        <v>0</v>
      </c>
      <c r="J148" s="54">
        <v>0</v>
      </c>
      <c r="K148" s="54">
        <v>0</v>
      </c>
      <c r="L148" s="54">
        <v>0</v>
      </c>
      <c r="M148" s="43"/>
      <c r="N148" s="54">
        <v>0</v>
      </c>
      <c r="O148" s="54">
        <v>0</v>
      </c>
      <c r="P148" s="54">
        <v>0</v>
      </c>
      <c r="Q148" s="54">
        <v>20966</v>
      </c>
    </row>
    <row r="149" spans="1:17" ht="26.45">
      <c r="A149" s="47">
        <v>2024</v>
      </c>
      <c r="B149" s="50" t="s">
        <v>1411</v>
      </c>
      <c r="C149" s="50" t="s">
        <v>8972</v>
      </c>
      <c r="D149" s="47" t="s">
        <v>137</v>
      </c>
      <c r="E149" s="48" t="s">
        <v>691</v>
      </c>
      <c r="F149" s="53">
        <v>178839.56</v>
      </c>
      <c r="G149" s="53">
        <v>29744.78</v>
      </c>
      <c r="H149" s="53">
        <v>0</v>
      </c>
      <c r="I149" s="53">
        <v>0</v>
      </c>
      <c r="J149" s="53">
        <v>0</v>
      </c>
      <c r="K149" s="53">
        <v>0</v>
      </c>
      <c r="L149" s="53">
        <v>0</v>
      </c>
      <c r="M149" s="43"/>
      <c r="N149" s="53">
        <v>0</v>
      </c>
      <c r="O149" s="53">
        <v>0</v>
      </c>
      <c r="P149" s="53">
        <v>0</v>
      </c>
      <c r="Q149" s="53">
        <v>208584.34</v>
      </c>
    </row>
    <row r="150" spans="1:17" ht="26.45">
      <c r="A150" s="44">
        <v>2024</v>
      </c>
      <c r="B150" s="46" t="s">
        <v>1411</v>
      </c>
      <c r="C150" s="46" t="s">
        <v>8972</v>
      </c>
      <c r="D150" s="44" t="s">
        <v>692</v>
      </c>
      <c r="E150" s="45" t="s">
        <v>693</v>
      </c>
      <c r="F150" s="54">
        <v>30841.89</v>
      </c>
      <c r="G150" s="54">
        <v>0</v>
      </c>
      <c r="H150" s="54">
        <v>0</v>
      </c>
      <c r="I150" s="54">
        <v>0</v>
      </c>
      <c r="J150" s="54">
        <v>0</v>
      </c>
      <c r="K150" s="54">
        <v>0</v>
      </c>
      <c r="L150" s="54">
        <v>0</v>
      </c>
      <c r="M150" s="43"/>
      <c r="N150" s="54">
        <v>0</v>
      </c>
      <c r="O150" s="54">
        <v>0</v>
      </c>
      <c r="P150" s="54">
        <v>0</v>
      </c>
      <c r="Q150" s="54">
        <v>30841.89</v>
      </c>
    </row>
    <row r="151" spans="1:17" ht="26.45">
      <c r="A151" s="47">
        <v>2024</v>
      </c>
      <c r="B151" s="50" t="s">
        <v>1411</v>
      </c>
      <c r="C151" s="50" t="s">
        <v>8972</v>
      </c>
      <c r="D151" s="47" t="s">
        <v>138</v>
      </c>
      <c r="E151" s="48" t="s">
        <v>694</v>
      </c>
      <c r="F151" s="53">
        <v>3405212.09</v>
      </c>
      <c r="G151" s="53">
        <v>1063039.71</v>
      </c>
      <c r="H151" s="53">
        <v>0</v>
      </c>
      <c r="I151" s="53">
        <v>0</v>
      </c>
      <c r="J151" s="53">
        <v>0</v>
      </c>
      <c r="K151" s="53">
        <v>0</v>
      </c>
      <c r="L151" s="53">
        <v>0</v>
      </c>
      <c r="M151" s="43"/>
      <c r="N151" s="53">
        <v>0</v>
      </c>
      <c r="O151" s="53">
        <v>0</v>
      </c>
      <c r="P151" s="53">
        <v>0</v>
      </c>
      <c r="Q151" s="53">
        <v>4468251.8</v>
      </c>
    </row>
    <row r="152" spans="1:17" ht="26.45">
      <c r="A152" s="44">
        <v>2024</v>
      </c>
      <c r="B152" s="46" t="s">
        <v>1411</v>
      </c>
      <c r="C152" s="46" t="s">
        <v>8972</v>
      </c>
      <c r="D152" s="44" t="s">
        <v>139</v>
      </c>
      <c r="E152" s="45" t="s">
        <v>695</v>
      </c>
      <c r="F152" s="54">
        <v>51831.02</v>
      </c>
      <c r="G152" s="54">
        <v>0</v>
      </c>
      <c r="H152" s="54">
        <v>0</v>
      </c>
      <c r="I152" s="54">
        <v>0</v>
      </c>
      <c r="J152" s="54">
        <v>0</v>
      </c>
      <c r="K152" s="54">
        <v>0</v>
      </c>
      <c r="L152" s="54">
        <v>0</v>
      </c>
      <c r="M152" s="43"/>
      <c r="N152" s="54">
        <v>0</v>
      </c>
      <c r="O152" s="54">
        <v>0</v>
      </c>
      <c r="P152" s="54">
        <v>0</v>
      </c>
      <c r="Q152" s="54">
        <v>51831.02</v>
      </c>
    </row>
    <row r="153" spans="1:17" ht="26.45">
      <c r="A153" s="47">
        <v>2024</v>
      </c>
      <c r="B153" s="50" t="s">
        <v>1411</v>
      </c>
      <c r="C153" s="50" t="s">
        <v>8972</v>
      </c>
      <c r="D153" s="47" t="s">
        <v>140</v>
      </c>
      <c r="E153" s="48" t="s">
        <v>696</v>
      </c>
      <c r="F153" s="53">
        <v>1456367.08</v>
      </c>
      <c r="G153" s="53">
        <v>186543.89</v>
      </c>
      <c r="H153" s="53">
        <v>0</v>
      </c>
      <c r="I153" s="53">
        <v>0</v>
      </c>
      <c r="J153" s="53">
        <v>0</v>
      </c>
      <c r="K153" s="53">
        <v>0</v>
      </c>
      <c r="L153" s="53">
        <v>0</v>
      </c>
      <c r="M153" s="43"/>
      <c r="N153" s="53">
        <v>0</v>
      </c>
      <c r="O153" s="53">
        <v>0</v>
      </c>
      <c r="P153" s="53">
        <v>0</v>
      </c>
      <c r="Q153" s="53">
        <v>1642910.97</v>
      </c>
    </row>
    <row r="154" spans="1:17" ht="26.45">
      <c r="A154" s="44">
        <v>2024</v>
      </c>
      <c r="B154" s="46" t="s">
        <v>1411</v>
      </c>
      <c r="C154" s="46" t="s">
        <v>8972</v>
      </c>
      <c r="D154" s="44" t="s">
        <v>697</v>
      </c>
      <c r="E154" s="45" t="s">
        <v>698</v>
      </c>
      <c r="F154" s="54">
        <v>778136.06</v>
      </c>
      <c r="G154" s="54">
        <v>238369.62</v>
      </c>
      <c r="H154" s="54">
        <v>0</v>
      </c>
      <c r="I154" s="54">
        <v>0</v>
      </c>
      <c r="J154" s="54">
        <v>0</v>
      </c>
      <c r="K154" s="54">
        <v>0</v>
      </c>
      <c r="L154" s="54">
        <v>0</v>
      </c>
      <c r="M154" s="43"/>
      <c r="N154" s="54">
        <v>0</v>
      </c>
      <c r="O154" s="54">
        <v>0</v>
      </c>
      <c r="P154" s="54">
        <v>0</v>
      </c>
      <c r="Q154" s="54">
        <v>1016505.68</v>
      </c>
    </row>
    <row r="155" spans="1:17" ht="26.45">
      <c r="A155" s="47">
        <v>2024</v>
      </c>
      <c r="B155" s="50" t="s">
        <v>1411</v>
      </c>
      <c r="C155" s="50" t="s">
        <v>8972</v>
      </c>
      <c r="D155" s="47" t="s">
        <v>141</v>
      </c>
      <c r="E155" s="48" t="s">
        <v>699</v>
      </c>
      <c r="F155" s="53">
        <v>956315.39</v>
      </c>
      <c r="G155" s="53">
        <v>308590.25</v>
      </c>
      <c r="H155" s="53">
        <v>0</v>
      </c>
      <c r="I155" s="53">
        <v>0</v>
      </c>
      <c r="J155" s="53">
        <v>0</v>
      </c>
      <c r="K155" s="53">
        <v>0</v>
      </c>
      <c r="L155" s="53">
        <v>0</v>
      </c>
      <c r="M155" s="43"/>
      <c r="N155" s="53">
        <v>0</v>
      </c>
      <c r="O155" s="53">
        <v>0</v>
      </c>
      <c r="P155" s="53">
        <v>0</v>
      </c>
      <c r="Q155" s="53">
        <v>1264905.6399999999</v>
      </c>
    </row>
    <row r="156" spans="1:17" ht="26.45">
      <c r="A156" s="44">
        <v>2024</v>
      </c>
      <c r="B156" s="46" t="s">
        <v>1411</v>
      </c>
      <c r="C156" s="46" t="s">
        <v>8972</v>
      </c>
      <c r="D156" s="44" t="s">
        <v>142</v>
      </c>
      <c r="E156" s="45" t="s">
        <v>700</v>
      </c>
      <c r="F156" s="54">
        <v>39485.35</v>
      </c>
      <c r="G156" s="54">
        <v>0</v>
      </c>
      <c r="H156" s="54">
        <v>0</v>
      </c>
      <c r="I156" s="54">
        <v>0</v>
      </c>
      <c r="J156" s="54">
        <v>0</v>
      </c>
      <c r="K156" s="54">
        <v>0</v>
      </c>
      <c r="L156" s="54">
        <v>0</v>
      </c>
      <c r="M156" s="43"/>
      <c r="N156" s="54">
        <v>0</v>
      </c>
      <c r="O156" s="54">
        <v>0</v>
      </c>
      <c r="P156" s="54">
        <v>0</v>
      </c>
      <c r="Q156" s="54">
        <v>39485.35</v>
      </c>
    </row>
    <row r="157" spans="1:17" ht="26.45">
      <c r="A157" s="47">
        <v>2024</v>
      </c>
      <c r="B157" s="50" t="s">
        <v>1411</v>
      </c>
      <c r="C157" s="50" t="s">
        <v>8972</v>
      </c>
      <c r="D157" s="47" t="s">
        <v>143</v>
      </c>
      <c r="E157" s="48" t="s">
        <v>701</v>
      </c>
      <c r="F157" s="53">
        <v>924103.35</v>
      </c>
      <c r="G157" s="53">
        <v>893289.91</v>
      </c>
      <c r="H157" s="53">
        <v>0</v>
      </c>
      <c r="I157" s="53">
        <v>0</v>
      </c>
      <c r="J157" s="53">
        <v>0</v>
      </c>
      <c r="K157" s="53">
        <v>0</v>
      </c>
      <c r="L157" s="53">
        <v>0</v>
      </c>
      <c r="M157" s="43"/>
      <c r="N157" s="53">
        <v>0</v>
      </c>
      <c r="O157" s="53">
        <v>0</v>
      </c>
      <c r="P157" s="53">
        <v>0</v>
      </c>
      <c r="Q157" s="53">
        <v>1817393.26</v>
      </c>
    </row>
    <row r="158" spans="1:17" ht="26.45">
      <c r="A158" s="44">
        <v>2024</v>
      </c>
      <c r="B158" s="46" t="s">
        <v>1411</v>
      </c>
      <c r="C158" s="46" t="s">
        <v>8972</v>
      </c>
      <c r="D158" s="44" t="s">
        <v>144</v>
      </c>
      <c r="E158" s="45" t="s">
        <v>702</v>
      </c>
      <c r="F158" s="54">
        <v>45580.61</v>
      </c>
      <c r="G158" s="54">
        <v>38243.949999999997</v>
      </c>
      <c r="H158" s="54">
        <v>0</v>
      </c>
      <c r="I158" s="54">
        <v>0</v>
      </c>
      <c r="J158" s="54">
        <v>0</v>
      </c>
      <c r="K158" s="54">
        <v>0</v>
      </c>
      <c r="L158" s="54">
        <v>0</v>
      </c>
      <c r="M158" s="43"/>
      <c r="N158" s="54">
        <v>0</v>
      </c>
      <c r="O158" s="54">
        <v>0</v>
      </c>
      <c r="P158" s="54">
        <v>0</v>
      </c>
      <c r="Q158" s="54">
        <v>83824.56</v>
      </c>
    </row>
    <row r="159" spans="1:17" ht="26.45">
      <c r="A159" s="47">
        <v>2024</v>
      </c>
      <c r="B159" s="50" t="s">
        <v>1411</v>
      </c>
      <c r="C159" s="50" t="s">
        <v>8972</v>
      </c>
      <c r="D159" s="47" t="s">
        <v>145</v>
      </c>
      <c r="E159" s="48" t="s">
        <v>703</v>
      </c>
      <c r="F159" s="53">
        <v>209296.1</v>
      </c>
      <c r="G159" s="53">
        <v>0</v>
      </c>
      <c r="H159" s="53">
        <v>0</v>
      </c>
      <c r="I159" s="53">
        <v>0</v>
      </c>
      <c r="J159" s="53">
        <v>0</v>
      </c>
      <c r="K159" s="53">
        <v>0</v>
      </c>
      <c r="L159" s="53">
        <v>0</v>
      </c>
      <c r="M159" s="43"/>
      <c r="N159" s="53">
        <v>0</v>
      </c>
      <c r="O159" s="53">
        <v>0</v>
      </c>
      <c r="P159" s="53">
        <v>0</v>
      </c>
      <c r="Q159" s="53">
        <v>209296.1</v>
      </c>
    </row>
    <row r="160" spans="1:17" ht="26.45">
      <c r="A160" s="44">
        <v>2024</v>
      </c>
      <c r="B160" s="46" t="s">
        <v>1411</v>
      </c>
      <c r="C160" s="46" t="s">
        <v>8972</v>
      </c>
      <c r="D160" s="44" t="s">
        <v>146</v>
      </c>
      <c r="E160" s="45" t="s">
        <v>704</v>
      </c>
      <c r="F160" s="54">
        <v>67809.179999999993</v>
      </c>
      <c r="G160" s="54">
        <v>0</v>
      </c>
      <c r="H160" s="54">
        <v>0</v>
      </c>
      <c r="I160" s="54">
        <v>0</v>
      </c>
      <c r="J160" s="54">
        <v>0</v>
      </c>
      <c r="K160" s="54">
        <v>0</v>
      </c>
      <c r="L160" s="54">
        <v>0</v>
      </c>
      <c r="M160" s="43"/>
      <c r="N160" s="54">
        <v>0</v>
      </c>
      <c r="O160" s="54">
        <v>0</v>
      </c>
      <c r="P160" s="54">
        <v>0</v>
      </c>
      <c r="Q160" s="54">
        <v>67809.179999999993</v>
      </c>
    </row>
    <row r="161" spans="1:17" ht="26.45">
      <c r="A161" s="47">
        <v>2024</v>
      </c>
      <c r="B161" s="50" t="s">
        <v>1411</v>
      </c>
      <c r="C161" s="50" t="s">
        <v>8972</v>
      </c>
      <c r="D161" s="47" t="s">
        <v>147</v>
      </c>
      <c r="E161" s="48" t="s">
        <v>705</v>
      </c>
      <c r="F161" s="53">
        <v>40873.050000000003</v>
      </c>
      <c r="G161" s="53">
        <v>11443.66</v>
      </c>
      <c r="H161" s="53">
        <v>0</v>
      </c>
      <c r="I161" s="53">
        <v>0</v>
      </c>
      <c r="J161" s="53">
        <v>0</v>
      </c>
      <c r="K161" s="53">
        <v>0</v>
      </c>
      <c r="L161" s="53">
        <v>0</v>
      </c>
      <c r="M161" s="43"/>
      <c r="N161" s="53">
        <v>0</v>
      </c>
      <c r="O161" s="53">
        <v>0</v>
      </c>
      <c r="P161" s="53">
        <v>0</v>
      </c>
      <c r="Q161" s="53">
        <v>52316.71</v>
      </c>
    </row>
    <row r="162" spans="1:17" ht="26.45">
      <c r="A162" s="44">
        <v>2024</v>
      </c>
      <c r="B162" s="46" t="s">
        <v>1411</v>
      </c>
      <c r="C162" s="46" t="s">
        <v>8972</v>
      </c>
      <c r="D162" s="44" t="s">
        <v>706</v>
      </c>
      <c r="E162" s="45" t="s">
        <v>707</v>
      </c>
      <c r="F162" s="54">
        <v>96284.21</v>
      </c>
      <c r="G162" s="54">
        <v>947.82</v>
      </c>
      <c r="H162" s="54">
        <v>0</v>
      </c>
      <c r="I162" s="54">
        <v>0</v>
      </c>
      <c r="J162" s="54">
        <v>0</v>
      </c>
      <c r="K162" s="54">
        <v>0</v>
      </c>
      <c r="L162" s="54">
        <v>0</v>
      </c>
      <c r="M162" s="43"/>
      <c r="N162" s="54">
        <v>0</v>
      </c>
      <c r="O162" s="54">
        <v>0</v>
      </c>
      <c r="P162" s="54">
        <v>0</v>
      </c>
      <c r="Q162" s="54">
        <v>97232.03</v>
      </c>
    </row>
    <row r="163" spans="1:17" ht="26.45">
      <c r="A163" s="47">
        <v>2024</v>
      </c>
      <c r="B163" s="50" t="s">
        <v>1411</v>
      </c>
      <c r="C163" s="50" t="s">
        <v>8972</v>
      </c>
      <c r="D163" s="47" t="s">
        <v>148</v>
      </c>
      <c r="E163" s="48" t="s">
        <v>708</v>
      </c>
      <c r="F163" s="53">
        <v>7510369.3300000001</v>
      </c>
      <c r="G163" s="53">
        <v>319134.28000000003</v>
      </c>
      <c r="H163" s="53">
        <v>0</v>
      </c>
      <c r="I163" s="53">
        <v>0</v>
      </c>
      <c r="J163" s="53">
        <v>0</v>
      </c>
      <c r="K163" s="53">
        <v>0</v>
      </c>
      <c r="L163" s="53">
        <v>0</v>
      </c>
      <c r="M163" s="43"/>
      <c r="N163" s="53">
        <v>0</v>
      </c>
      <c r="O163" s="53">
        <v>0</v>
      </c>
      <c r="P163" s="53">
        <v>0</v>
      </c>
      <c r="Q163" s="53">
        <v>7829503.6100000003</v>
      </c>
    </row>
    <row r="164" spans="1:17" ht="26.45">
      <c r="A164" s="44">
        <v>2024</v>
      </c>
      <c r="B164" s="46" t="s">
        <v>1411</v>
      </c>
      <c r="C164" s="46" t="s">
        <v>8972</v>
      </c>
      <c r="D164" s="44" t="s">
        <v>149</v>
      </c>
      <c r="E164" s="45" t="s">
        <v>709</v>
      </c>
      <c r="F164" s="54">
        <v>749392.97</v>
      </c>
      <c r="G164" s="54">
        <v>77997.34</v>
      </c>
      <c r="H164" s="54">
        <v>0</v>
      </c>
      <c r="I164" s="54">
        <v>0</v>
      </c>
      <c r="J164" s="54">
        <v>0</v>
      </c>
      <c r="K164" s="54">
        <v>0</v>
      </c>
      <c r="L164" s="54">
        <v>0</v>
      </c>
      <c r="M164" s="43"/>
      <c r="N164" s="54">
        <v>0</v>
      </c>
      <c r="O164" s="54">
        <v>0</v>
      </c>
      <c r="P164" s="54">
        <v>0</v>
      </c>
      <c r="Q164" s="54">
        <v>827390.31</v>
      </c>
    </row>
    <row r="165" spans="1:17" ht="26.45">
      <c r="A165" s="47">
        <v>2024</v>
      </c>
      <c r="B165" s="50" t="s">
        <v>1411</v>
      </c>
      <c r="C165" s="50" t="s">
        <v>8972</v>
      </c>
      <c r="D165" s="47" t="s">
        <v>150</v>
      </c>
      <c r="E165" s="48" t="s">
        <v>710</v>
      </c>
      <c r="F165" s="53">
        <v>587005.85</v>
      </c>
      <c r="G165" s="53">
        <v>41312.82</v>
      </c>
      <c r="H165" s="53">
        <v>0</v>
      </c>
      <c r="I165" s="53">
        <v>0</v>
      </c>
      <c r="J165" s="53">
        <v>0</v>
      </c>
      <c r="K165" s="53">
        <v>0</v>
      </c>
      <c r="L165" s="53">
        <v>0</v>
      </c>
      <c r="M165" s="43"/>
      <c r="N165" s="53">
        <v>0</v>
      </c>
      <c r="O165" s="53">
        <v>0</v>
      </c>
      <c r="P165" s="53">
        <v>0</v>
      </c>
      <c r="Q165" s="53">
        <v>628318.67000000004</v>
      </c>
    </row>
    <row r="166" spans="1:17" ht="26.45">
      <c r="A166" s="44">
        <v>2024</v>
      </c>
      <c r="B166" s="46" t="s">
        <v>1411</v>
      </c>
      <c r="C166" s="46" t="s">
        <v>8972</v>
      </c>
      <c r="D166" s="44" t="s">
        <v>151</v>
      </c>
      <c r="E166" s="45" t="s">
        <v>711</v>
      </c>
      <c r="F166" s="54">
        <v>91179.49</v>
      </c>
      <c r="G166" s="54">
        <v>0</v>
      </c>
      <c r="H166" s="54">
        <v>0</v>
      </c>
      <c r="I166" s="54">
        <v>0</v>
      </c>
      <c r="J166" s="54">
        <v>0</v>
      </c>
      <c r="K166" s="54">
        <v>0</v>
      </c>
      <c r="L166" s="54">
        <v>0</v>
      </c>
      <c r="M166" s="43"/>
      <c r="N166" s="54">
        <v>0</v>
      </c>
      <c r="O166" s="54">
        <v>0</v>
      </c>
      <c r="P166" s="54">
        <v>0</v>
      </c>
      <c r="Q166" s="54">
        <v>91179.49</v>
      </c>
    </row>
    <row r="167" spans="1:17" ht="26.45">
      <c r="A167" s="47">
        <v>2024</v>
      </c>
      <c r="B167" s="50" t="s">
        <v>1411</v>
      </c>
      <c r="C167" s="50" t="s">
        <v>8972</v>
      </c>
      <c r="D167" s="47" t="s">
        <v>152</v>
      </c>
      <c r="E167" s="48" t="s">
        <v>712</v>
      </c>
      <c r="F167" s="53">
        <v>106094.39999999999</v>
      </c>
      <c r="G167" s="53">
        <v>0</v>
      </c>
      <c r="H167" s="53">
        <v>0</v>
      </c>
      <c r="I167" s="53">
        <v>0</v>
      </c>
      <c r="J167" s="53">
        <v>0</v>
      </c>
      <c r="K167" s="53">
        <v>0</v>
      </c>
      <c r="L167" s="53">
        <v>0</v>
      </c>
      <c r="M167" s="43"/>
      <c r="N167" s="53">
        <v>0</v>
      </c>
      <c r="O167" s="53">
        <v>0</v>
      </c>
      <c r="P167" s="53">
        <v>0</v>
      </c>
      <c r="Q167" s="53">
        <v>106094.39999999999</v>
      </c>
    </row>
    <row r="168" spans="1:17" ht="26.45">
      <c r="A168" s="44">
        <v>2024</v>
      </c>
      <c r="B168" s="46" t="s">
        <v>1411</v>
      </c>
      <c r="C168" s="46" t="s">
        <v>8972</v>
      </c>
      <c r="D168" s="44" t="s">
        <v>713</v>
      </c>
      <c r="E168" s="45" t="s">
        <v>714</v>
      </c>
      <c r="F168" s="54">
        <v>69285.009999999995</v>
      </c>
      <c r="G168" s="54">
        <v>0</v>
      </c>
      <c r="H168" s="54">
        <v>0</v>
      </c>
      <c r="I168" s="54">
        <v>0</v>
      </c>
      <c r="J168" s="54">
        <v>0</v>
      </c>
      <c r="K168" s="54">
        <v>0</v>
      </c>
      <c r="L168" s="54">
        <v>0</v>
      </c>
      <c r="M168" s="43"/>
      <c r="N168" s="54">
        <v>0</v>
      </c>
      <c r="O168" s="54">
        <v>0</v>
      </c>
      <c r="P168" s="54">
        <v>0</v>
      </c>
      <c r="Q168" s="54">
        <v>69285.009999999995</v>
      </c>
    </row>
    <row r="169" spans="1:17" ht="26.45">
      <c r="A169" s="47">
        <v>2024</v>
      </c>
      <c r="B169" s="50" t="s">
        <v>1411</v>
      </c>
      <c r="C169" s="50" t="s">
        <v>8972</v>
      </c>
      <c r="D169" s="47" t="s">
        <v>715</v>
      </c>
      <c r="E169" s="48" t="s">
        <v>716</v>
      </c>
      <c r="F169" s="53">
        <v>48269.74</v>
      </c>
      <c r="G169" s="53">
        <v>0</v>
      </c>
      <c r="H169" s="53">
        <v>0</v>
      </c>
      <c r="I169" s="53">
        <v>0</v>
      </c>
      <c r="J169" s="53">
        <v>0</v>
      </c>
      <c r="K169" s="53">
        <v>0</v>
      </c>
      <c r="L169" s="53">
        <v>0</v>
      </c>
      <c r="M169" s="43"/>
      <c r="N169" s="53">
        <v>0</v>
      </c>
      <c r="O169" s="53">
        <v>0</v>
      </c>
      <c r="P169" s="53">
        <v>0</v>
      </c>
      <c r="Q169" s="53">
        <v>48269.74</v>
      </c>
    </row>
    <row r="170" spans="1:17" ht="26.45">
      <c r="A170" s="44">
        <v>2024</v>
      </c>
      <c r="B170" s="46" t="s">
        <v>1411</v>
      </c>
      <c r="C170" s="46" t="s">
        <v>8972</v>
      </c>
      <c r="D170" s="44" t="s">
        <v>153</v>
      </c>
      <c r="E170" s="45" t="s">
        <v>717</v>
      </c>
      <c r="F170" s="54">
        <v>89599.47</v>
      </c>
      <c r="G170" s="54">
        <v>2514.7199999999998</v>
      </c>
      <c r="H170" s="54">
        <v>0</v>
      </c>
      <c r="I170" s="54">
        <v>0</v>
      </c>
      <c r="J170" s="54">
        <v>0</v>
      </c>
      <c r="K170" s="54">
        <v>0</v>
      </c>
      <c r="L170" s="54">
        <v>0</v>
      </c>
      <c r="M170" s="43"/>
      <c r="N170" s="54">
        <v>0</v>
      </c>
      <c r="O170" s="54">
        <v>0</v>
      </c>
      <c r="P170" s="54">
        <v>0</v>
      </c>
      <c r="Q170" s="54">
        <v>92114.19</v>
      </c>
    </row>
    <row r="171" spans="1:17" ht="39.6">
      <c r="A171" s="47">
        <v>2024</v>
      </c>
      <c r="B171" s="50" t="s">
        <v>1411</v>
      </c>
      <c r="C171" s="50" t="s">
        <v>8972</v>
      </c>
      <c r="D171" s="47" t="s">
        <v>154</v>
      </c>
      <c r="E171" s="48" t="s">
        <v>718</v>
      </c>
      <c r="F171" s="53">
        <v>62041.64</v>
      </c>
      <c r="G171" s="53">
        <v>0</v>
      </c>
      <c r="H171" s="53">
        <v>0</v>
      </c>
      <c r="I171" s="53">
        <v>0</v>
      </c>
      <c r="J171" s="53">
        <v>0</v>
      </c>
      <c r="K171" s="53">
        <v>0</v>
      </c>
      <c r="L171" s="53">
        <v>0</v>
      </c>
      <c r="M171" s="43"/>
      <c r="N171" s="53">
        <v>0</v>
      </c>
      <c r="O171" s="53">
        <v>0</v>
      </c>
      <c r="P171" s="53">
        <v>0</v>
      </c>
      <c r="Q171" s="53">
        <v>62041.64</v>
      </c>
    </row>
    <row r="172" spans="1:17" ht="39.6">
      <c r="A172" s="44">
        <v>2024</v>
      </c>
      <c r="B172" s="46" t="s">
        <v>1411</v>
      </c>
      <c r="C172" s="46" t="s">
        <v>8972</v>
      </c>
      <c r="D172" s="44" t="s">
        <v>719</v>
      </c>
      <c r="E172" s="45" t="s">
        <v>720</v>
      </c>
      <c r="F172" s="54">
        <v>59351.23</v>
      </c>
      <c r="G172" s="54">
        <v>31884.16</v>
      </c>
      <c r="H172" s="54">
        <v>0</v>
      </c>
      <c r="I172" s="54">
        <v>0</v>
      </c>
      <c r="J172" s="54">
        <v>0</v>
      </c>
      <c r="K172" s="54">
        <v>0</v>
      </c>
      <c r="L172" s="54">
        <v>0</v>
      </c>
      <c r="M172" s="43"/>
      <c r="N172" s="54">
        <v>0</v>
      </c>
      <c r="O172" s="54">
        <v>0</v>
      </c>
      <c r="P172" s="54">
        <v>0</v>
      </c>
      <c r="Q172" s="54">
        <v>91235.39</v>
      </c>
    </row>
    <row r="173" spans="1:17" ht="26.45">
      <c r="A173" s="47">
        <v>2024</v>
      </c>
      <c r="B173" s="50" t="s">
        <v>1411</v>
      </c>
      <c r="C173" s="50" t="s">
        <v>8972</v>
      </c>
      <c r="D173" s="47" t="s">
        <v>721</v>
      </c>
      <c r="E173" s="48" t="s">
        <v>722</v>
      </c>
      <c r="F173" s="53">
        <v>439.78</v>
      </c>
      <c r="G173" s="53">
        <v>499.32</v>
      </c>
      <c r="H173" s="53">
        <v>0</v>
      </c>
      <c r="I173" s="53">
        <v>0</v>
      </c>
      <c r="J173" s="53">
        <v>0</v>
      </c>
      <c r="K173" s="53">
        <v>0</v>
      </c>
      <c r="L173" s="53">
        <v>0</v>
      </c>
      <c r="M173" s="43"/>
      <c r="N173" s="53">
        <v>0</v>
      </c>
      <c r="O173" s="53">
        <v>0</v>
      </c>
      <c r="P173" s="53">
        <v>0</v>
      </c>
      <c r="Q173" s="53">
        <v>939.1</v>
      </c>
    </row>
    <row r="174" spans="1:17" ht="26.45">
      <c r="A174" s="44">
        <v>2024</v>
      </c>
      <c r="B174" s="46" t="s">
        <v>1411</v>
      </c>
      <c r="C174" s="46" t="s">
        <v>8972</v>
      </c>
      <c r="D174" s="44" t="s">
        <v>155</v>
      </c>
      <c r="E174" s="45" t="s">
        <v>723</v>
      </c>
      <c r="F174" s="54">
        <v>17984.54</v>
      </c>
      <c r="G174" s="54">
        <v>0</v>
      </c>
      <c r="H174" s="54">
        <v>0</v>
      </c>
      <c r="I174" s="54">
        <v>0</v>
      </c>
      <c r="J174" s="54">
        <v>0</v>
      </c>
      <c r="K174" s="54">
        <v>0</v>
      </c>
      <c r="L174" s="54">
        <v>0</v>
      </c>
      <c r="M174" s="43"/>
      <c r="N174" s="54">
        <v>0</v>
      </c>
      <c r="O174" s="54">
        <v>0</v>
      </c>
      <c r="P174" s="54">
        <v>0</v>
      </c>
      <c r="Q174" s="54">
        <v>17984.54</v>
      </c>
    </row>
    <row r="175" spans="1:17" ht="39.6">
      <c r="A175" s="47">
        <v>2024</v>
      </c>
      <c r="B175" s="50" t="s">
        <v>1411</v>
      </c>
      <c r="C175" s="50" t="s">
        <v>8972</v>
      </c>
      <c r="D175" s="47" t="s">
        <v>724</v>
      </c>
      <c r="E175" s="48" t="s">
        <v>725</v>
      </c>
      <c r="F175" s="53">
        <v>18907.09</v>
      </c>
      <c r="G175" s="53">
        <v>3337.59</v>
      </c>
      <c r="H175" s="53">
        <v>0</v>
      </c>
      <c r="I175" s="53">
        <v>0</v>
      </c>
      <c r="J175" s="53">
        <v>0</v>
      </c>
      <c r="K175" s="53">
        <v>0</v>
      </c>
      <c r="L175" s="53">
        <v>0</v>
      </c>
      <c r="M175" s="43"/>
      <c r="N175" s="53">
        <v>0</v>
      </c>
      <c r="O175" s="53">
        <v>0</v>
      </c>
      <c r="P175" s="53">
        <v>0</v>
      </c>
      <c r="Q175" s="53">
        <v>22244.68</v>
      </c>
    </row>
    <row r="176" spans="1:17" ht="26.45">
      <c r="A176" s="44">
        <v>2024</v>
      </c>
      <c r="B176" s="46" t="s">
        <v>1411</v>
      </c>
      <c r="C176" s="46" t="s">
        <v>8972</v>
      </c>
      <c r="D176" s="44" t="s">
        <v>156</v>
      </c>
      <c r="E176" s="45" t="s">
        <v>726</v>
      </c>
      <c r="F176" s="54">
        <v>31903.18</v>
      </c>
      <c r="G176" s="54">
        <v>0</v>
      </c>
      <c r="H176" s="54">
        <v>0</v>
      </c>
      <c r="I176" s="54">
        <v>0</v>
      </c>
      <c r="J176" s="54">
        <v>0</v>
      </c>
      <c r="K176" s="54">
        <v>0</v>
      </c>
      <c r="L176" s="54">
        <v>0</v>
      </c>
      <c r="M176" s="43"/>
      <c r="N176" s="54">
        <v>0</v>
      </c>
      <c r="O176" s="54">
        <v>0</v>
      </c>
      <c r="P176" s="54">
        <v>0</v>
      </c>
      <c r="Q176" s="54">
        <v>31903.18</v>
      </c>
    </row>
    <row r="177" spans="1:17" ht="26.45">
      <c r="A177" s="47">
        <v>2024</v>
      </c>
      <c r="B177" s="50" t="s">
        <v>1411</v>
      </c>
      <c r="C177" s="50" t="s">
        <v>8972</v>
      </c>
      <c r="D177" s="47" t="s">
        <v>157</v>
      </c>
      <c r="E177" s="48" t="s">
        <v>727</v>
      </c>
      <c r="F177" s="53">
        <v>199025.12</v>
      </c>
      <c r="G177" s="53">
        <v>4475.8900000000003</v>
      </c>
      <c r="H177" s="53">
        <v>0</v>
      </c>
      <c r="I177" s="53">
        <v>0</v>
      </c>
      <c r="J177" s="53">
        <v>0</v>
      </c>
      <c r="K177" s="53">
        <v>0</v>
      </c>
      <c r="L177" s="53">
        <v>0</v>
      </c>
      <c r="M177" s="43"/>
      <c r="N177" s="53">
        <v>0</v>
      </c>
      <c r="O177" s="53">
        <v>0</v>
      </c>
      <c r="P177" s="53">
        <v>0</v>
      </c>
      <c r="Q177" s="53">
        <v>203501.01</v>
      </c>
    </row>
    <row r="178" spans="1:17" ht="26.45">
      <c r="A178" s="44">
        <v>2024</v>
      </c>
      <c r="B178" s="46" t="s">
        <v>1411</v>
      </c>
      <c r="C178" s="46" t="s">
        <v>8972</v>
      </c>
      <c r="D178" s="44" t="s">
        <v>728</v>
      </c>
      <c r="E178" s="45" t="s">
        <v>729</v>
      </c>
      <c r="F178" s="54">
        <v>393220.73</v>
      </c>
      <c r="G178" s="54">
        <v>104598.24</v>
      </c>
      <c r="H178" s="54">
        <v>0</v>
      </c>
      <c r="I178" s="54">
        <v>0</v>
      </c>
      <c r="J178" s="54">
        <v>0</v>
      </c>
      <c r="K178" s="54">
        <v>0</v>
      </c>
      <c r="L178" s="54">
        <v>0</v>
      </c>
      <c r="M178" s="43"/>
      <c r="N178" s="54">
        <v>0</v>
      </c>
      <c r="O178" s="54">
        <v>0</v>
      </c>
      <c r="P178" s="54">
        <v>0</v>
      </c>
      <c r="Q178" s="54">
        <v>497818.97</v>
      </c>
    </row>
    <row r="179" spans="1:17" ht="26.45">
      <c r="A179" s="47">
        <v>2024</v>
      </c>
      <c r="B179" s="50" t="s">
        <v>1411</v>
      </c>
      <c r="C179" s="50" t="s">
        <v>8972</v>
      </c>
      <c r="D179" s="47" t="s">
        <v>730</v>
      </c>
      <c r="E179" s="48" t="s">
        <v>731</v>
      </c>
      <c r="F179" s="53">
        <v>85874.65</v>
      </c>
      <c r="G179" s="53">
        <v>826.49</v>
      </c>
      <c r="H179" s="53">
        <v>0</v>
      </c>
      <c r="I179" s="53">
        <v>0</v>
      </c>
      <c r="J179" s="53">
        <v>0</v>
      </c>
      <c r="K179" s="53">
        <v>0</v>
      </c>
      <c r="L179" s="53">
        <v>0</v>
      </c>
      <c r="M179" s="43"/>
      <c r="N179" s="53">
        <v>0</v>
      </c>
      <c r="O179" s="53">
        <v>0</v>
      </c>
      <c r="P179" s="53">
        <v>0</v>
      </c>
      <c r="Q179" s="53">
        <v>86701.14</v>
      </c>
    </row>
    <row r="180" spans="1:17" ht="26.45">
      <c r="A180" s="44">
        <v>2024</v>
      </c>
      <c r="B180" s="46" t="s">
        <v>1411</v>
      </c>
      <c r="C180" s="46" t="s">
        <v>8972</v>
      </c>
      <c r="D180" s="44" t="s">
        <v>732</v>
      </c>
      <c r="E180" s="45" t="s">
        <v>733</v>
      </c>
      <c r="F180" s="54">
        <v>26396.6</v>
      </c>
      <c r="G180" s="54">
        <v>3246.95</v>
      </c>
      <c r="H180" s="54">
        <v>0</v>
      </c>
      <c r="I180" s="54">
        <v>0</v>
      </c>
      <c r="J180" s="54">
        <v>0</v>
      </c>
      <c r="K180" s="54">
        <v>0</v>
      </c>
      <c r="L180" s="54">
        <v>0</v>
      </c>
      <c r="M180" s="43"/>
      <c r="N180" s="54">
        <v>0</v>
      </c>
      <c r="O180" s="54">
        <v>0</v>
      </c>
      <c r="P180" s="54">
        <v>0</v>
      </c>
      <c r="Q180" s="54">
        <v>29643.55</v>
      </c>
    </row>
    <row r="181" spans="1:17" ht="26.45">
      <c r="A181" s="47">
        <v>2024</v>
      </c>
      <c r="B181" s="50" t="s">
        <v>1411</v>
      </c>
      <c r="C181" s="50" t="s">
        <v>8972</v>
      </c>
      <c r="D181" s="47" t="s">
        <v>158</v>
      </c>
      <c r="E181" s="48" t="s">
        <v>734</v>
      </c>
      <c r="F181" s="53">
        <v>54095.4</v>
      </c>
      <c r="G181" s="53">
        <v>0</v>
      </c>
      <c r="H181" s="53">
        <v>0</v>
      </c>
      <c r="I181" s="53">
        <v>0</v>
      </c>
      <c r="J181" s="53">
        <v>0</v>
      </c>
      <c r="K181" s="53">
        <v>0</v>
      </c>
      <c r="L181" s="53">
        <v>0</v>
      </c>
      <c r="M181" s="43"/>
      <c r="N181" s="53">
        <v>0</v>
      </c>
      <c r="O181" s="53">
        <v>0</v>
      </c>
      <c r="P181" s="53">
        <v>0</v>
      </c>
      <c r="Q181" s="53">
        <v>54095.4</v>
      </c>
    </row>
    <row r="182" spans="1:17" ht="26.45">
      <c r="A182" s="44">
        <v>2024</v>
      </c>
      <c r="B182" s="46" t="s">
        <v>1411</v>
      </c>
      <c r="C182" s="46" t="s">
        <v>8972</v>
      </c>
      <c r="D182" s="44" t="s">
        <v>159</v>
      </c>
      <c r="E182" s="45" t="s">
        <v>735</v>
      </c>
      <c r="F182" s="54">
        <v>17279.009999999998</v>
      </c>
      <c r="G182" s="54">
        <v>0</v>
      </c>
      <c r="H182" s="54">
        <v>0</v>
      </c>
      <c r="I182" s="54">
        <v>0</v>
      </c>
      <c r="J182" s="54">
        <v>0</v>
      </c>
      <c r="K182" s="54">
        <v>0</v>
      </c>
      <c r="L182" s="54">
        <v>0</v>
      </c>
      <c r="M182" s="43"/>
      <c r="N182" s="54">
        <v>0</v>
      </c>
      <c r="O182" s="54">
        <v>0</v>
      </c>
      <c r="P182" s="54">
        <v>0</v>
      </c>
      <c r="Q182" s="54">
        <v>17279.009999999998</v>
      </c>
    </row>
    <row r="183" spans="1:17" ht="26.45">
      <c r="A183" s="47">
        <v>2024</v>
      </c>
      <c r="B183" s="50" t="s">
        <v>1411</v>
      </c>
      <c r="C183" s="50" t="s">
        <v>8972</v>
      </c>
      <c r="D183" s="47" t="s">
        <v>160</v>
      </c>
      <c r="E183" s="48" t="s">
        <v>736</v>
      </c>
      <c r="F183" s="53">
        <v>36916.57</v>
      </c>
      <c r="G183" s="53">
        <v>0</v>
      </c>
      <c r="H183" s="53">
        <v>0</v>
      </c>
      <c r="I183" s="53">
        <v>0</v>
      </c>
      <c r="J183" s="53">
        <v>0</v>
      </c>
      <c r="K183" s="53">
        <v>0</v>
      </c>
      <c r="L183" s="53">
        <v>0</v>
      </c>
      <c r="M183" s="43"/>
      <c r="N183" s="53">
        <v>0</v>
      </c>
      <c r="O183" s="53">
        <v>0</v>
      </c>
      <c r="P183" s="53">
        <v>0</v>
      </c>
      <c r="Q183" s="53">
        <v>36916.57</v>
      </c>
    </row>
    <row r="184" spans="1:17" ht="26.45">
      <c r="A184" s="44">
        <v>2024</v>
      </c>
      <c r="B184" s="46" t="s">
        <v>1411</v>
      </c>
      <c r="C184" s="46" t="s">
        <v>8972</v>
      </c>
      <c r="D184" s="44" t="s">
        <v>161</v>
      </c>
      <c r="E184" s="45" t="s">
        <v>737</v>
      </c>
      <c r="F184" s="54">
        <v>160477.69</v>
      </c>
      <c r="G184" s="54">
        <v>22740.55</v>
      </c>
      <c r="H184" s="54">
        <v>0</v>
      </c>
      <c r="I184" s="54">
        <v>0</v>
      </c>
      <c r="J184" s="54">
        <v>0</v>
      </c>
      <c r="K184" s="54">
        <v>0</v>
      </c>
      <c r="L184" s="54">
        <v>0</v>
      </c>
      <c r="M184" s="43"/>
      <c r="N184" s="54">
        <v>0</v>
      </c>
      <c r="O184" s="54">
        <v>0</v>
      </c>
      <c r="P184" s="54">
        <v>0</v>
      </c>
      <c r="Q184" s="54">
        <v>183218.24</v>
      </c>
    </row>
    <row r="185" spans="1:17" ht="26.45">
      <c r="A185" s="47">
        <v>2024</v>
      </c>
      <c r="B185" s="50" t="s">
        <v>1411</v>
      </c>
      <c r="C185" s="50" t="s">
        <v>8972</v>
      </c>
      <c r="D185" s="47" t="s">
        <v>162</v>
      </c>
      <c r="E185" s="48" t="s">
        <v>738</v>
      </c>
      <c r="F185" s="53">
        <v>598898.65</v>
      </c>
      <c r="G185" s="53">
        <v>81543.679999999993</v>
      </c>
      <c r="H185" s="53">
        <v>0</v>
      </c>
      <c r="I185" s="53">
        <v>0</v>
      </c>
      <c r="J185" s="53">
        <v>0</v>
      </c>
      <c r="K185" s="53">
        <v>0</v>
      </c>
      <c r="L185" s="53">
        <v>0</v>
      </c>
      <c r="M185" s="43"/>
      <c r="N185" s="53">
        <v>0</v>
      </c>
      <c r="O185" s="53">
        <v>0</v>
      </c>
      <c r="P185" s="53">
        <v>0</v>
      </c>
      <c r="Q185" s="53">
        <v>680442.33</v>
      </c>
    </row>
    <row r="186" spans="1:17" ht="26.45">
      <c r="A186" s="44">
        <v>2024</v>
      </c>
      <c r="B186" s="46" t="s">
        <v>1411</v>
      </c>
      <c r="C186" s="46" t="s">
        <v>8972</v>
      </c>
      <c r="D186" s="44" t="s">
        <v>739</v>
      </c>
      <c r="E186" s="45" t="s">
        <v>740</v>
      </c>
      <c r="F186" s="54">
        <v>0</v>
      </c>
      <c r="G186" s="54">
        <v>0</v>
      </c>
      <c r="H186" s="54">
        <v>0</v>
      </c>
      <c r="I186" s="54">
        <v>0</v>
      </c>
      <c r="J186" s="54">
        <v>0</v>
      </c>
      <c r="K186" s="54">
        <v>0</v>
      </c>
      <c r="L186" s="54">
        <v>0</v>
      </c>
      <c r="M186" s="43"/>
      <c r="N186" s="54">
        <v>0</v>
      </c>
      <c r="O186" s="54">
        <v>0</v>
      </c>
      <c r="P186" s="54">
        <v>0</v>
      </c>
      <c r="Q186" s="54">
        <v>0</v>
      </c>
    </row>
    <row r="187" spans="1:17" ht="26.45">
      <c r="A187" s="47">
        <v>2024</v>
      </c>
      <c r="B187" s="50" t="s">
        <v>1411</v>
      </c>
      <c r="C187" s="50" t="s">
        <v>8972</v>
      </c>
      <c r="D187" s="47" t="s">
        <v>741</v>
      </c>
      <c r="E187" s="48" t="s">
        <v>742</v>
      </c>
      <c r="F187" s="53">
        <v>27885.23</v>
      </c>
      <c r="G187" s="53">
        <v>0</v>
      </c>
      <c r="H187" s="53">
        <v>0</v>
      </c>
      <c r="I187" s="53">
        <v>0</v>
      </c>
      <c r="J187" s="53">
        <v>0</v>
      </c>
      <c r="K187" s="53">
        <v>0</v>
      </c>
      <c r="L187" s="53">
        <v>0</v>
      </c>
      <c r="M187" s="43"/>
      <c r="N187" s="53">
        <v>0</v>
      </c>
      <c r="O187" s="53">
        <v>0</v>
      </c>
      <c r="P187" s="53">
        <v>0</v>
      </c>
      <c r="Q187" s="53">
        <v>27885.23</v>
      </c>
    </row>
    <row r="188" spans="1:17" ht="26.45">
      <c r="A188" s="44">
        <v>2024</v>
      </c>
      <c r="B188" s="46" t="s">
        <v>1411</v>
      </c>
      <c r="C188" s="46" t="s">
        <v>8972</v>
      </c>
      <c r="D188" s="44" t="s">
        <v>743</v>
      </c>
      <c r="E188" s="45" t="s">
        <v>744</v>
      </c>
      <c r="F188" s="54">
        <v>50303.79</v>
      </c>
      <c r="G188" s="54">
        <v>0</v>
      </c>
      <c r="H188" s="54">
        <v>0</v>
      </c>
      <c r="I188" s="54">
        <v>0</v>
      </c>
      <c r="J188" s="54">
        <v>0</v>
      </c>
      <c r="K188" s="54">
        <v>0</v>
      </c>
      <c r="L188" s="54">
        <v>0</v>
      </c>
      <c r="M188" s="43"/>
      <c r="N188" s="54">
        <v>0</v>
      </c>
      <c r="O188" s="54">
        <v>0</v>
      </c>
      <c r="P188" s="54">
        <v>0</v>
      </c>
      <c r="Q188" s="54">
        <v>50303.79</v>
      </c>
    </row>
    <row r="189" spans="1:17" ht="26.45">
      <c r="A189" s="47">
        <v>2024</v>
      </c>
      <c r="B189" s="50" t="s">
        <v>1411</v>
      </c>
      <c r="C189" s="50" t="s">
        <v>8972</v>
      </c>
      <c r="D189" s="47" t="s">
        <v>163</v>
      </c>
      <c r="E189" s="48" t="s">
        <v>745</v>
      </c>
      <c r="F189" s="53">
        <v>421192.47</v>
      </c>
      <c r="G189" s="53">
        <v>0</v>
      </c>
      <c r="H189" s="53">
        <v>0</v>
      </c>
      <c r="I189" s="53">
        <v>0</v>
      </c>
      <c r="J189" s="53">
        <v>0</v>
      </c>
      <c r="K189" s="53">
        <v>0</v>
      </c>
      <c r="L189" s="53">
        <v>0</v>
      </c>
      <c r="M189" s="43"/>
      <c r="N189" s="53">
        <v>0</v>
      </c>
      <c r="O189" s="53">
        <v>0</v>
      </c>
      <c r="P189" s="53">
        <v>0</v>
      </c>
      <c r="Q189" s="53">
        <v>421192.47</v>
      </c>
    </row>
    <row r="190" spans="1:17" ht="26.45">
      <c r="A190" s="44">
        <v>2024</v>
      </c>
      <c r="B190" s="46" t="s">
        <v>1411</v>
      </c>
      <c r="C190" s="46" t="s">
        <v>8972</v>
      </c>
      <c r="D190" s="44" t="s">
        <v>164</v>
      </c>
      <c r="E190" s="45" t="s">
        <v>746</v>
      </c>
      <c r="F190" s="54">
        <v>51490.559999999998</v>
      </c>
      <c r="G190" s="54">
        <v>0</v>
      </c>
      <c r="H190" s="54">
        <v>0</v>
      </c>
      <c r="I190" s="54">
        <v>0</v>
      </c>
      <c r="J190" s="54">
        <v>0</v>
      </c>
      <c r="K190" s="54">
        <v>0</v>
      </c>
      <c r="L190" s="54">
        <v>0</v>
      </c>
      <c r="M190" s="43"/>
      <c r="N190" s="54">
        <v>0</v>
      </c>
      <c r="O190" s="54">
        <v>0</v>
      </c>
      <c r="P190" s="54">
        <v>0</v>
      </c>
      <c r="Q190" s="54">
        <v>51490.559999999998</v>
      </c>
    </row>
    <row r="191" spans="1:17" ht="26.45">
      <c r="A191" s="47">
        <v>2024</v>
      </c>
      <c r="B191" s="50" t="s">
        <v>1411</v>
      </c>
      <c r="C191" s="50" t="s">
        <v>8972</v>
      </c>
      <c r="D191" s="47" t="s">
        <v>751</v>
      </c>
      <c r="E191" s="48" t="s">
        <v>752</v>
      </c>
      <c r="F191" s="53">
        <v>19790.400000000001</v>
      </c>
      <c r="G191" s="53">
        <v>0</v>
      </c>
      <c r="H191" s="53">
        <v>0</v>
      </c>
      <c r="I191" s="53">
        <v>0</v>
      </c>
      <c r="J191" s="53">
        <v>0</v>
      </c>
      <c r="K191" s="53">
        <v>0</v>
      </c>
      <c r="L191" s="53">
        <v>0</v>
      </c>
      <c r="M191" s="43"/>
      <c r="N191" s="53">
        <v>0</v>
      </c>
      <c r="O191" s="53">
        <v>0</v>
      </c>
      <c r="P191" s="53">
        <v>0</v>
      </c>
      <c r="Q191" s="53">
        <v>19790.400000000001</v>
      </c>
    </row>
    <row r="192" spans="1:17" ht="39.6">
      <c r="A192" s="44">
        <v>2024</v>
      </c>
      <c r="B192" s="46" t="s">
        <v>1411</v>
      </c>
      <c r="C192" s="46" t="s">
        <v>8972</v>
      </c>
      <c r="D192" s="44" t="s">
        <v>747</v>
      </c>
      <c r="E192" s="45" t="s">
        <v>748</v>
      </c>
      <c r="F192" s="54">
        <v>17927.45</v>
      </c>
      <c r="G192" s="54">
        <v>0</v>
      </c>
      <c r="H192" s="54">
        <v>0</v>
      </c>
      <c r="I192" s="54">
        <v>0</v>
      </c>
      <c r="J192" s="54">
        <v>0</v>
      </c>
      <c r="K192" s="54">
        <v>0</v>
      </c>
      <c r="L192" s="54">
        <v>0</v>
      </c>
      <c r="M192" s="43"/>
      <c r="N192" s="54">
        <v>0</v>
      </c>
      <c r="O192" s="54">
        <v>0</v>
      </c>
      <c r="P192" s="54">
        <v>0</v>
      </c>
      <c r="Q192" s="54">
        <v>17927.45</v>
      </c>
    </row>
    <row r="193" spans="1:17" ht="39.6">
      <c r="A193" s="47">
        <v>2024</v>
      </c>
      <c r="B193" s="50" t="s">
        <v>1411</v>
      </c>
      <c r="C193" s="50" t="s">
        <v>8972</v>
      </c>
      <c r="D193" s="47" t="s">
        <v>749</v>
      </c>
      <c r="E193" s="48" t="s">
        <v>750</v>
      </c>
      <c r="F193" s="53">
        <v>23622.59</v>
      </c>
      <c r="G193" s="53">
        <v>0</v>
      </c>
      <c r="H193" s="53">
        <v>0</v>
      </c>
      <c r="I193" s="53">
        <v>0</v>
      </c>
      <c r="J193" s="53">
        <v>0</v>
      </c>
      <c r="K193" s="53">
        <v>0</v>
      </c>
      <c r="L193" s="53">
        <v>0</v>
      </c>
      <c r="M193" s="43"/>
      <c r="N193" s="53">
        <v>0</v>
      </c>
      <c r="O193" s="53">
        <v>0</v>
      </c>
      <c r="P193" s="53">
        <v>0</v>
      </c>
      <c r="Q193" s="53">
        <v>23622.59</v>
      </c>
    </row>
    <row r="194" spans="1:17" ht="26.45">
      <c r="A194" s="44">
        <v>2024</v>
      </c>
      <c r="B194" s="46" t="s">
        <v>1411</v>
      </c>
      <c r="C194" s="46" t="s">
        <v>8972</v>
      </c>
      <c r="D194" s="44" t="s">
        <v>165</v>
      </c>
      <c r="E194" s="45" t="s">
        <v>753</v>
      </c>
      <c r="F194" s="54">
        <v>1285438.01</v>
      </c>
      <c r="G194" s="54">
        <v>638453.18000000005</v>
      </c>
      <c r="H194" s="54">
        <v>0</v>
      </c>
      <c r="I194" s="54">
        <v>0</v>
      </c>
      <c r="J194" s="54">
        <v>0</v>
      </c>
      <c r="K194" s="54">
        <v>0</v>
      </c>
      <c r="L194" s="54">
        <v>0</v>
      </c>
      <c r="M194" s="43"/>
      <c r="N194" s="54">
        <v>0</v>
      </c>
      <c r="O194" s="54">
        <v>0</v>
      </c>
      <c r="P194" s="54">
        <v>0</v>
      </c>
      <c r="Q194" s="54">
        <v>1923891.19</v>
      </c>
    </row>
    <row r="195" spans="1:17" ht="26.45">
      <c r="A195" s="47">
        <v>2024</v>
      </c>
      <c r="B195" s="50" t="s">
        <v>1411</v>
      </c>
      <c r="C195" s="50" t="s">
        <v>8972</v>
      </c>
      <c r="D195" s="47" t="s">
        <v>166</v>
      </c>
      <c r="E195" s="48" t="s">
        <v>754</v>
      </c>
      <c r="F195" s="53">
        <v>1398523.67</v>
      </c>
      <c r="G195" s="53">
        <v>926750.42</v>
      </c>
      <c r="H195" s="53">
        <v>0</v>
      </c>
      <c r="I195" s="53">
        <v>0</v>
      </c>
      <c r="J195" s="53">
        <v>0</v>
      </c>
      <c r="K195" s="53">
        <v>0</v>
      </c>
      <c r="L195" s="53">
        <v>0</v>
      </c>
      <c r="M195" s="43"/>
      <c r="N195" s="53">
        <v>0</v>
      </c>
      <c r="O195" s="53">
        <v>0</v>
      </c>
      <c r="P195" s="53">
        <v>0</v>
      </c>
      <c r="Q195" s="53">
        <v>2325274.09</v>
      </c>
    </row>
    <row r="196" spans="1:17" ht="26.45">
      <c r="A196" s="44">
        <v>2024</v>
      </c>
      <c r="B196" s="46" t="s">
        <v>1411</v>
      </c>
      <c r="C196" s="46" t="s">
        <v>8972</v>
      </c>
      <c r="D196" s="44" t="s">
        <v>167</v>
      </c>
      <c r="E196" s="45" t="s">
        <v>755</v>
      </c>
      <c r="F196" s="54">
        <v>46708.72</v>
      </c>
      <c r="G196" s="54">
        <v>0</v>
      </c>
      <c r="H196" s="54">
        <v>0</v>
      </c>
      <c r="I196" s="54">
        <v>0</v>
      </c>
      <c r="J196" s="54">
        <v>0</v>
      </c>
      <c r="K196" s="54">
        <v>0</v>
      </c>
      <c r="L196" s="54">
        <v>0</v>
      </c>
      <c r="M196" s="43"/>
      <c r="N196" s="54">
        <v>0</v>
      </c>
      <c r="O196" s="54">
        <v>0</v>
      </c>
      <c r="P196" s="54">
        <v>0</v>
      </c>
      <c r="Q196" s="54">
        <v>46708.72</v>
      </c>
    </row>
    <row r="197" spans="1:17" ht="26.45">
      <c r="A197" s="47">
        <v>2024</v>
      </c>
      <c r="B197" s="50" t="s">
        <v>1411</v>
      </c>
      <c r="C197" s="50" t="s">
        <v>8972</v>
      </c>
      <c r="D197" s="47" t="s">
        <v>756</v>
      </c>
      <c r="E197" s="48" t="s">
        <v>757</v>
      </c>
      <c r="F197" s="53">
        <v>1986.7</v>
      </c>
      <c r="G197" s="53">
        <v>1428.85</v>
      </c>
      <c r="H197" s="53">
        <v>0</v>
      </c>
      <c r="I197" s="53">
        <v>0</v>
      </c>
      <c r="J197" s="53">
        <v>0</v>
      </c>
      <c r="K197" s="53">
        <v>0</v>
      </c>
      <c r="L197" s="53">
        <v>0</v>
      </c>
      <c r="M197" s="43"/>
      <c r="N197" s="53">
        <v>0</v>
      </c>
      <c r="O197" s="53">
        <v>0</v>
      </c>
      <c r="P197" s="53">
        <v>0</v>
      </c>
      <c r="Q197" s="53">
        <v>3415.55</v>
      </c>
    </row>
    <row r="198" spans="1:17" ht="52.9">
      <c r="A198" s="44">
        <v>2024</v>
      </c>
      <c r="B198" s="46" t="s">
        <v>1411</v>
      </c>
      <c r="C198" s="46" t="s">
        <v>8972</v>
      </c>
      <c r="D198" s="44" t="s">
        <v>168</v>
      </c>
      <c r="E198" s="45" t="s">
        <v>758</v>
      </c>
      <c r="F198" s="54">
        <v>83402.59</v>
      </c>
      <c r="G198" s="54">
        <v>0</v>
      </c>
      <c r="H198" s="54">
        <v>0</v>
      </c>
      <c r="I198" s="54">
        <v>0</v>
      </c>
      <c r="J198" s="54">
        <v>0</v>
      </c>
      <c r="K198" s="54">
        <v>0</v>
      </c>
      <c r="L198" s="54">
        <v>0</v>
      </c>
      <c r="M198" s="43"/>
      <c r="N198" s="54">
        <v>0</v>
      </c>
      <c r="O198" s="54">
        <v>0</v>
      </c>
      <c r="P198" s="54">
        <v>0</v>
      </c>
      <c r="Q198" s="54">
        <v>83402.59</v>
      </c>
    </row>
    <row r="199" spans="1:17" ht="52.9">
      <c r="A199" s="47">
        <v>2024</v>
      </c>
      <c r="B199" s="50" t="s">
        <v>1411</v>
      </c>
      <c r="C199" s="50" t="s">
        <v>8972</v>
      </c>
      <c r="D199" s="47" t="s">
        <v>169</v>
      </c>
      <c r="E199" s="48" t="s">
        <v>761</v>
      </c>
      <c r="F199" s="53">
        <v>124541.34</v>
      </c>
      <c r="G199" s="53">
        <v>0</v>
      </c>
      <c r="H199" s="53">
        <v>0</v>
      </c>
      <c r="I199" s="53">
        <v>0</v>
      </c>
      <c r="J199" s="53">
        <v>0</v>
      </c>
      <c r="K199" s="53">
        <v>0</v>
      </c>
      <c r="L199" s="53">
        <v>0</v>
      </c>
      <c r="M199" s="43"/>
      <c r="N199" s="53">
        <v>0</v>
      </c>
      <c r="O199" s="53">
        <v>0</v>
      </c>
      <c r="P199" s="53">
        <v>0</v>
      </c>
      <c r="Q199" s="53">
        <v>124541.34</v>
      </c>
    </row>
    <row r="200" spans="1:17" ht="52.9">
      <c r="A200" s="44">
        <v>2024</v>
      </c>
      <c r="B200" s="46" t="s">
        <v>1411</v>
      </c>
      <c r="C200" s="46" t="s">
        <v>8972</v>
      </c>
      <c r="D200" s="44" t="s">
        <v>170</v>
      </c>
      <c r="E200" s="45" t="s">
        <v>759</v>
      </c>
      <c r="F200" s="54">
        <v>68327.199999999997</v>
      </c>
      <c r="G200" s="54">
        <v>0</v>
      </c>
      <c r="H200" s="54">
        <v>0</v>
      </c>
      <c r="I200" s="54">
        <v>0</v>
      </c>
      <c r="J200" s="54">
        <v>0</v>
      </c>
      <c r="K200" s="54">
        <v>0</v>
      </c>
      <c r="L200" s="54">
        <v>0</v>
      </c>
      <c r="M200" s="43"/>
      <c r="N200" s="54">
        <v>0</v>
      </c>
      <c r="O200" s="54">
        <v>0</v>
      </c>
      <c r="P200" s="54">
        <v>0</v>
      </c>
      <c r="Q200" s="54">
        <v>68327.199999999997</v>
      </c>
    </row>
    <row r="201" spans="1:17" ht="52.9">
      <c r="A201" s="47">
        <v>2024</v>
      </c>
      <c r="B201" s="50" t="s">
        <v>1411</v>
      </c>
      <c r="C201" s="50" t="s">
        <v>8972</v>
      </c>
      <c r="D201" s="47" t="s">
        <v>171</v>
      </c>
      <c r="E201" s="48" t="s">
        <v>760</v>
      </c>
      <c r="F201" s="53">
        <v>76812.350000000006</v>
      </c>
      <c r="G201" s="53">
        <v>0</v>
      </c>
      <c r="H201" s="53">
        <v>0</v>
      </c>
      <c r="I201" s="53">
        <v>0</v>
      </c>
      <c r="J201" s="53">
        <v>0</v>
      </c>
      <c r="K201" s="53">
        <v>0</v>
      </c>
      <c r="L201" s="53">
        <v>0</v>
      </c>
      <c r="M201" s="43"/>
      <c r="N201" s="53">
        <v>0</v>
      </c>
      <c r="O201" s="53">
        <v>0</v>
      </c>
      <c r="P201" s="53">
        <v>0</v>
      </c>
      <c r="Q201" s="53">
        <v>76812.350000000006</v>
      </c>
    </row>
    <row r="202" spans="1:17" ht="66">
      <c r="A202" s="44">
        <v>2024</v>
      </c>
      <c r="B202" s="46" t="s">
        <v>1411</v>
      </c>
      <c r="C202" s="46" t="s">
        <v>8972</v>
      </c>
      <c r="D202" s="44" t="s">
        <v>762</v>
      </c>
      <c r="E202" s="45" t="s">
        <v>763</v>
      </c>
      <c r="F202" s="54">
        <v>33976.11</v>
      </c>
      <c r="G202" s="54">
        <v>0</v>
      </c>
      <c r="H202" s="54">
        <v>0</v>
      </c>
      <c r="I202" s="54">
        <v>0</v>
      </c>
      <c r="J202" s="54">
        <v>0</v>
      </c>
      <c r="K202" s="54">
        <v>0</v>
      </c>
      <c r="L202" s="54">
        <v>0</v>
      </c>
      <c r="M202" s="43"/>
      <c r="N202" s="54">
        <v>0</v>
      </c>
      <c r="O202" s="54">
        <v>0</v>
      </c>
      <c r="P202" s="54">
        <v>0</v>
      </c>
      <c r="Q202" s="54">
        <v>33976.11</v>
      </c>
    </row>
    <row r="203" spans="1:17" ht="52.9">
      <c r="A203" s="47">
        <v>2024</v>
      </c>
      <c r="B203" s="50" t="s">
        <v>1411</v>
      </c>
      <c r="C203" s="50" t="s">
        <v>8972</v>
      </c>
      <c r="D203" s="47" t="s">
        <v>172</v>
      </c>
      <c r="E203" s="48" t="s">
        <v>764</v>
      </c>
      <c r="F203" s="53">
        <v>37191.050000000003</v>
      </c>
      <c r="G203" s="53">
        <v>0</v>
      </c>
      <c r="H203" s="53">
        <v>0</v>
      </c>
      <c r="I203" s="53">
        <v>0</v>
      </c>
      <c r="J203" s="53">
        <v>0</v>
      </c>
      <c r="K203" s="53">
        <v>0</v>
      </c>
      <c r="L203" s="53">
        <v>0</v>
      </c>
      <c r="M203" s="43"/>
      <c r="N203" s="53">
        <v>0</v>
      </c>
      <c r="O203" s="53">
        <v>0</v>
      </c>
      <c r="P203" s="53">
        <v>0</v>
      </c>
      <c r="Q203" s="53">
        <v>37191.050000000003</v>
      </c>
    </row>
    <row r="204" spans="1:17" ht="26.45">
      <c r="A204" s="44">
        <v>2024</v>
      </c>
      <c r="B204" s="46" t="s">
        <v>1411</v>
      </c>
      <c r="C204" s="46" t="s">
        <v>8972</v>
      </c>
      <c r="D204" s="44" t="s">
        <v>765</v>
      </c>
      <c r="E204" s="45" t="s">
        <v>766</v>
      </c>
      <c r="F204" s="54">
        <v>6370.84</v>
      </c>
      <c r="G204" s="54">
        <v>0</v>
      </c>
      <c r="H204" s="54">
        <v>0</v>
      </c>
      <c r="I204" s="54">
        <v>0</v>
      </c>
      <c r="J204" s="54">
        <v>0</v>
      </c>
      <c r="K204" s="54">
        <v>0</v>
      </c>
      <c r="L204" s="54">
        <v>0</v>
      </c>
      <c r="M204" s="43"/>
      <c r="N204" s="54">
        <v>0</v>
      </c>
      <c r="O204" s="54">
        <v>0</v>
      </c>
      <c r="P204" s="54">
        <v>0</v>
      </c>
      <c r="Q204" s="54">
        <v>6370.84</v>
      </c>
    </row>
    <row r="205" spans="1:17" ht="26.45">
      <c r="A205" s="47">
        <v>2024</v>
      </c>
      <c r="B205" s="50" t="s">
        <v>1411</v>
      </c>
      <c r="C205" s="50" t="s">
        <v>8972</v>
      </c>
      <c r="D205" s="47" t="s">
        <v>173</v>
      </c>
      <c r="E205" s="48" t="s">
        <v>767</v>
      </c>
      <c r="F205" s="53">
        <v>6451602.6600000001</v>
      </c>
      <c r="G205" s="53">
        <v>4522947.63</v>
      </c>
      <c r="H205" s="53">
        <v>0</v>
      </c>
      <c r="I205" s="53">
        <v>0</v>
      </c>
      <c r="J205" s="53">
        <v>0</v>
      </c>
      <c r="K205" s="53">
        <v>0</v>
      </c>
      <c r="L205" s="53">
        <v>0</v>
      </c>
      <c r="M205" s="43"/>
      <c r="N205" s="53">
        <v>0</v>
      </c>
      <c r="O205" s="53">
        <v>0</v>
      </c>
      <c r="P205" s="53">
        <v>0</v>
      </c>
      <c r="Q205" s="53">
        <v>10974550.289999999</v>
      </c>
    </row>
    <row r="206" spans="1:17" ht="26.45">
      <c r="A206" s="44">
        <v>2024</v>
      </c>
      <c r="B206" s="46" t="s">
        <v>1411</v>
      </c>
      <c r="C206" s="46" t="s">
        <v>8972</v>
      </c>
      <c r="D206" s="44" t="s">
        <v>174</v>
      </c>
      <c r="E206" s="45" t="s">
        <v>768</v>
      </c>
      <c r="F206" s="54">
        <v>142802.9</v>
      </c>
      <c r="G206" s="54">
        <v>0</v>
      </c>
      <c r="H206" s="54">
        <v>0</v>
      </c>
      <c r="I206" s="54">
        <v>0</v>
      </c>
      <c r="J206" s="54">
        <v>0</v>
      </c>
      <c r="K206" s="54">
        <v>0</v>
      </c>
      <c r="L206" s="54">
        <v>0</v>
      </c>
      <c r="M206" s="43"/>
      <c r="N206" s="54">
        <v>0</v>
      </c>
      <c r="O206" s="54">
        <v>0</v>
      </c>
      <c r="P206" s="54">
        <v>0</v>
      </c>
      <c r="Q206" s="54">
        <v>142802.9</v>
      </c>
    </row>
    <row r="207" spans="1:17" ht="26.45">
      <c r="A207" s="47">
        <v>2024</v>
      </c>
      <c r="B207" s="50" t="s">
        <v>1411</v>
      </c>
      <c r="C207" s="50" t="s">
        <v>8972</v>
      </c>
      <c r="D207" s="47" t="s">
        <v>769</v>
      </c>
      <c r="E207" s="48" t="s">
        <v>770</v>
      </c>
      <c r="F207" s="53">
        <v>5705.7</v>
      </c>
      <c r="G207" s="53">
        <v>0</v>
      </c>
      <c r="H207" s="53">
        <v>0</v>
      </c>
      <c r="I207" s="53">
        <v>0</v>
      </c>
      <c r="J207" s="53">
        <v>0</v>
      </c>
      <c r="K207" s="53">
        <v>0</v>
      </c>
      <c r="L207" s="53">
        <v>0</v>
      </c>
      <c r="M207" s="43"/>
      <c r="N207" s="53">
        <v>0</v>
      </c>
      <c r="O207" s="53">
        <v>0</v>
      </c>
      <c r="P207" s="53">
        <v>0</v>
      </c>
      <c r="Q207" s="53">
        <v>5705.7</v>
      </c>
    </row>
    <row r="208" spans="1:17" ht="26.45">
      <c r="A208" s="44">
        <v>2024</v>
      </c>
      <c r="B208" s="46" t="s">
        <v>1411</v>
      </c>
      <c r="C208" s="46" t="s">
        <v>8972</v>
      </c>
      <c r="D208" s="44" t="s">
        <v>175</v>
      </c>
      <c r="E208" s="45" t="s">
        <v>771</v>
      </c>
      <c r="F208" s="54">
        <v>6639.84</v>
      </c>
      <c r="G208" s="54">
        <v>0</v>
      </c>
      <c r="H208" s="54">
        <v>0</v>
      </c>
      <c r="I208" s="54">
        <v>0</v>
      </c>
      <c r="J208" s="54">
        <v>0</v>
      </c>
      <c r="K208" s="54">
        <v>0</v>
      </c>
      <c r="L208" s="54">
        <v>0</v>
      </c>
      <c r="M208" s="43"/>
      <c r="N208" s="54">
        <v>0</v>
      </c>
      <c r="O208" s="54">
        <v>0</v>
      </c>
      <c r="P208" s="54">
        <v>0</v>
      </c>
      <c r="Q208" s="54">
        <v>6639.84</v>
      </c>
    </row>
    <row r="209" spans="1:17" ht="26.45">
      <c r="A209" s="47">
        <v>2024</v>
      </c>
      <c r="B209" s="50" t="s">
        <v>1411</v>
      </c>
      <c r="C209" s="50" t="s">
        <v>8972</v>
      </c>
      <c r="D209" s="47" t="s">
        <v>176</v>
      </c>
      <c r="E209" s="48" t="s">
        <v>772</v>
      </c>
      <c r="F209" s="53">
        <v>75791.88</v>
      </c>
      <c r="G209" s="53">
        <v>0</v>
      </c>
      <c r="H209" s="53">
        <v>0</v>
      </c>
      <c r="I209" s="53">
        <v>0</v>
      </c>
      <c r="J209" s="53">
        <v>0</v>
      </c>
      <c r="K209" s="53">
        <v>0</v>
      </c>
      <c r="L209" s="53">
        <v>0</v>
      </c>
      <c r="M209" s="43"/>
      <c r="N209" s="53">
        <v>0</v>
      </c>
      <c r="O209" s="53">
        <v>0</v>
      </c>
      <c r="P209" s="53">
        <v>0</v>
      </c>
      <c r="Q209" s="53">
        <v>75791.88</v>
      </c>
    </row>
    <row r="210" spans="1:17" ht="26.45">
      <c r="A210" s="44">
        <v>2024</v>
      </c>
      <c r="B210" s="46" t="s">
        <v>1411</v>
      </c>
      <c r="C210" s="46" t="s">
        <v>8972</v>
      </c>
      <c r="D210" s="44" t="s">
        <v>177</v>
      </c>
      <c r="E210" s="45" t="s">
        <v>773</v>
      </c>
      <c r="F210" s="54">
        <v>21017.43</v>
      </c>
      <c r="G210" s="54">
        <v>25202.93</v>
      </c>
      <c r="H210" s="54">
        <v>0</v>
      </c>
      <c r="I210" s="54">
        <v>0</v>
      </c>
      <c r="J210" s="54">
        <v>0</v>
      </c>
      <c r="K210" s="54">
        <v>0</v>
      </c>
      <c r="L210" s="54">
        <v>0</v>
      </c>
      <c r="M210" s="43"/>
      <c r="N210" s="54">
        <v>0</v>
      </c>
      <c r="O210" s="54">
        <v>0</v>
      </c>
      <c r="P210" s="54">
        <v>0</v>
      </c>
      <c r="Q210" s="54">
        <v>46220.36</v>
      </c>
    </row>
    <row r="211" spans="1:17" ht="26.45">
      <c r="A211" s="47">
        <v>2024</v>
      </c>
      <c r="B211" s="50" t="s">
        <v>1411</v>
      </c>
      <c r="C211" s="50" t="s">
        <v>8972</v>
      </c>
      <c r="D211" s="47" t="s">
        <v>178</v>
      </c>
      <c r="E211" s="48" t="s">
        <v>774</v>
      </c>
      <c r="F211" s="53">
        <v>65919.14</v>
      </c>
      <c r="G211" s="53">
        <v>0</v>
      </c>
      <c r="H211" s="53">
        <v>0</v>
      </c>
      <c r="I211" s="53">
        <v>0</v>
      </c>
      <c r="J211" s="53">
        <v>0</v>
      </c>
      <c r="K211" s="53">
        <v>0</v>
      </c>
      <c r="L211" s="53">
        <v>0</v>
      </c>
      <c r="M211" s="43"/>
      <c r="N211" s="53">
        <v>0</v>
      </c>
      <c r="O211" s="53">
        <v>0</v>
      </c>
      <c r="P211" s="53">
        <v>0</v>
      </c>
      <c r="Q211" s="53">
        <v>65919.14</v>
      </c>
    </row>
    <row r="212" spans="1:17" ht="26.45">
      <c r="A212" s="44">
        <v>2024</v>
      </c>
      <c r="B212" s="46" t="s">
        <v>1411</v>
      </c>
      <c r="C212" s="46" t="s">
        <v>8972</v>
      </c>
      <c r="D212" s="44" t="s">
        <v>179</v>
      </c>
      <c r="E212" s="45" t="s">
        <v>775</v>
      </c>
      <c r="F212" s="54">
        <v>17629.560000000001</v>
      </c>
      <c r="G212" s="54">
        <v>1753.87</v>
      </c>
      <c r="H212" s="54">
        <v>0</v>
      </c>
      <c r="I212" s="54">
        <v>0</v>
      </c>
      <c r="J212" s="54">
        <v>0</v>
      </c>
      <c r="K212" s="54">
        <v>0</v>
      </c>
      <c r="L212" s="54">
        <v>0</v>
      </c>
      <c r="M212" s="43"/>
      <c r="N212" s="54">
        <v>0</v>
      </c>
      <c r="O212" s="54">
        <v>0</v>
      </c>
      <c r="P212" s="54">
        <v>0</v>
      </c>
      <c r="Q212" s="54">
        <v>19383.43</v>
      </c>
    </row>
    <row r="213" spans="1:17" ht="26.45">
      <c r="A213" s="47">
        <v>2024</v>
      </c>
      <c r="B213" s="50" t="s">
        <v>1411</v>
      </c>
      <c r="C213" s="50" t="s">
        <v>8972</v>
      </c>
      <c r="D213" s="47" t="s">
        <v>180</v>
      </c>
      <c r="E213" s="48" t="s">
        <v>776</v>
      </c>
      <c r="F213" s="53">
        <v>11266.94</v>
      </c>
      <c r="G213" s="53">
        <v>0</v>
      </c>
      <c r="H213" s="53">
        <v>0</v>
      </c>
      <c r="I213" s="53">
        <v>0</v>
      </c>
      <c r="J213" s="53">
        <v>0</v>
      </c>
      <c r="K213" s="53">
        <v>0</v>
      </c>
      <c r="L213" s="53">
        <v>0</v>
      </c>
      <c r="M213" s="43"/>
      <c r="N213" s="53">
        <v>0</v>
      </c>
      <c r="O213" s="53">
        <v>0</v>
      </c>
      <c r="P213" s="53">
        <v>0</v>
      </c>
      <c r="Q213" s="53">
        <v>11266.94</v>
      </c>
    </row>
    <row r="214" spans="1:17" ht="26.45">
      <c r="A214" s="44">
        <v>2024</v>
      </c>
      <c r="B214" s="46" t="s">
        <v>1411</v>
      </c>
      <c r="C214" s="46" t="s">
        <v>8972</v>
      </c>
      <c r="D214" s="44" t="s">
        <v>181</v>
      </c>
      <c r="E214" s="45" t="s">
        <v>777</v>
      </c>
      <c r="F214" s="54">
        <v>861436.55</v>
      </c>
      <c r="G214" s="54">
        <v>52891.05</v>
      </c>
      <c r="H214" s="54">
        <v>0</v>
      </c>
      <c r="I214" s="54">
        <v>0</v>
      </c>
      <c r="J214" s="54">
        <v>0</v>
      </c>
      <c r="K214" s="54">
        <v>0</v>
      </c>
      <c r="L214" s="54">
        <v>0</v>
      </c>
      <c r="M214" s="43"/>
      <c r="N214" s="54">
        <v>0</v>
      </c>
      <c r="O214" s="54">
        <v>0</v>
      </c>
      <c r="P214" s="54">
        <v>0</v>
      </c>
      <c r="Q214" s="54">
        <v>914327.6</v>
      </c>
    </row>
    <row r="215" spans="1:17" ht="26.45">
      <c r="A215" s="47">
        <v>2024</v>
      </c>
      <c r="B215" s="50" t="s">
        <v>1411</v>
      </c>
      <c r="C215" s="50" t="s">
        <v>8972</v>
      </c>
      <c r="D215" s="47" t="s">
        <v>182</v>
      </c>
      <c r="E215" s="48" t="s">
        <v>778</v>
      </c>
      <c r="F215" s="53">
        <v>92393.09</v>
      </c>
      <c r="G215" s="53">
        <v>13705.94</v>
      </c>
      <c r="H215" s="53">
        <v>0</v>
      </c>
      <c r="I215" s="53">
        <v>0</v>
      </c>
      <c r="J215" s="53">
        <v>0</v>
      </c>
      <c r="K215" s="53">
        <v>0</v>
      </c>
      <c r="L215" s="53">
        <v>0</v>
      </c>
      <c r="M215" s="43"/>
      <c r="N215" s="53">
        <v>0</v>
      </c>
      <c r="O215" s="53">
        <v>0</v>
      </c>
      <c r="P215" s="53">
        <v>0</v>
      </c>
      <c r="Q215" s="53">
        <v>106099.03</v>
      </c>
    </row>
    <row r="216" spans="1:17" ht="26.45">
      <c r="A216" s="44">
        <v>2024</v>
      </c>
      <c r="B216" s="46" t="s">
        <v>1411</v>
      </c>
      <c r="C216" s="46" t="s">
        <v>8972</v>
      </c>
      <c r="D216" s="44" t="s">
        <v>183</v>
      </c>
      <c r="E216" s="45" t="s">
        <v>779</v>
      </c>
      <c r="F216" s="54">
        <v>3984920.29</v>
      </c>
      <c r="G216" s="54">
        <v>832175.02</v>
      </c>
      <c r="H216" s="54">
        <v>0</v>
      </c>
      <c r="I216" s="54">
        <v>0</v>
      </c>
      <c r="J216" s="54">
        <v>0</v>
      </c>
      <c r="K216" s="54">
        <v>0</v>
      </c>
      <c r="L216" s="54">
        <v>0</v>
      </c>
      <c r="M216" s="43"/>
      <c r="N216" s="54">
        <v>0</v>
      </c>
      <c r="O216" s="54">
        <v>0</v>
      </c>
      <c r="P216" s="54">
        <v>0</v>
      </c>
      <c r="Q216" s="54">
        <v>4817095.3099999996</v>
      </c>
    </row>
    <row r="217" spans="1:17" ht="26.45">
      <c r="A217" s="47">
        <v>2024</v>
      </c>
      <c r="B217" s="50" t="s">
        <v>1411</v>
      </c>
      <c r="C217" s="50" t="s">
        <v>8972</v>
      </c>
      <c r="D217" s="47" t="s">
        <v>184</v>
      </c>
      <c r="E217" s="48" t="s">
        <v>780</v>
      </c>
      <c r="F217" s="53">
        <v>20352.91</v>
      </c>
      <c r="G217" s="53">
        <v>0</v>
      </c>
      <c r="H217" s="53">
        <v>0</v>
      </c>
      <c r="I217" s="53">
        <v>0</v>
      </c>
      <c r="J217" s="53">
        <v>0</v>
      </c>
      <c r="K217" s="53">
        <v>0</v>
      </c>
      <c r="L217" s="53">
        <v>-20352.91</v>
      </c>
      <c r="M217" s="43"/>
      <c r="N217" s="53">
        <v>0</v>
      </c>
      <c r="O217" s="53">
        <v>0</v>
      </c>
      <c r="P217" s="53">
        <v>0</v>
      </c>
      <c r="Q217" s="53">
        <v>0</v>
      </c>
    </row>
    <row r="218" spans="1:17" ht="26.45">
      <c r="A218" s="44">
        <v>2024</v>
      </c>
      <c r="B218" s="46" t="s">
        <v>1411</v>
      </c>
      <c r="C218" s="46" t="s">
        <v>8972</v>
      </c>
      <c r="D218" s="44" t="s">
        <v>185</v>
      </c>
      <c r="E218" s="45" t="s">
        <v>781</v>
      </c>
      <c r="F218" s="54">
        <v>68142.149999999994</v>
      </c>
      <c r="G218" s="54">
        <v>38214.160000000003</v>
      </c>
      <c r="H218" s="54">
        <v>0</v>
      </c>
      <c r="I218" s="54">
        <v>0</v>
      </c>
      <c r="J218" s="54">
        <v>0</v>
      </c>
      <c r="K218" s="54">
        <v>0</v>
      </c>
      <c r="L218" s="54">
        <v>0</v>
      </c>
      <c r="M218" s="43"/>
      <c r="N218" s="54">
        <v>0</v>
      </c>
      <c r="O218" s="54">
        <v>0</v>
      </c>
      <c r="P218" s="54">
        <v>0</v>
      </c>
      <c r="Q218" s="54">
        <v>106356.31</v>
      </c>
    </row>
    <row r="219" spans="1:17" ht="26.45">
      <c r="A219" s="47">
        <v>2024</v>
      </c>
      <c r="B219" s="50" t="s">
        <v>1411</v>
      </c>
      <c r="C219" s="50" t="s">
        <v>8972</v>
      </c>
      <c r="D219" s="47" t="s">
        <v>186</v>
      </c>
      <c r="E219" s="48" t="s">
        <v>782</v>
      </c>
      <c r="F219" s="53">
        <v>31826.93</v>
      </c>
      <c r="G219" s="53">
        <v>0</v>
      </c>
      <c r="H219" s="53">
        <v>0</v>
      </c>
      <c r="I219" s="53">
        <v>0</v>
      </c>
      <c r="J219" s="53">
        <v>0</v>
      </c>
      <c r="K219" s="53">
        <v>0</v>
      </c>
      <c r="L219" s="53">
        <v>0</v>
      </c>
      <c r="M219" s="43"/>
      <c r="N219" s="53">
        <v>0</v>
      </c>
      <c r="O219" s="53">
        <v>0</v>
      </c>
      <c r="P219" s="53">
        <v>0</v>
      </c>
      <c r="Q219" s="53">
        <v>31826.93</v>
      </c>
    </row>
    <row r="220" spans="1:17" ht="26.45">
      <c r="A220" s="44">
        <v>2024</v>
      </c>
      <c r="B220" s="46" t="s">
        <v>1411</v>
      </c>
      <c r="C220" s="46" t="s">
        <v>8972</v>
      </c>
      <c r="D220" s="44" t="s">
        <v>187</v>
      </c>
      <c r="E220" s="45" t="s">
        <v>783</v>
      </c>
      <c r="F220" s="54">
        <v>72506.69</v>
      </c>
      <c r="G220" s="54">
        <v>49051.54</v>
      </c>
      <c r="H220" s="54">
        <v>0</v>
      </c>
      <c r="I220" s="54">
        <v>0</v>
      </c>
      <c r="J220" s="54">
        <v>0</v>
      </c>
      <c r="K220" s="54">
        <v>0</v>
      </c>
      <c r="L220" s="54">
        <v>0</v>
      </c>
      <c r="M220" s="43"/>
      <c r="N220" s="54">
        <v>0</v>
      </c>
      <c r="O220" s="54">
        <v>0</v>
      </c>
      <c r="P220" s="54">
        <v>0</v>
      </c>
      <c r="Q220" s="54">
        <v>121558.23</v>
      </c>
    </row>
    <row r="221" spans="1:17" ht="26.45">
      <c r="A221" s="47">
        <v>2024</v>
      </c>
      <c r="B221" s="50" t="s">
        <v>1411</v>
      </c>
      <c r="C221" s="50" t="s">
        <v>8972</v>
      </c>
      <c r="D221" s="47" t="s">
        <v>188</v>
      </c>
      <c r="E221" s="48" t="s">
        <v>784</v>
      </c>
      <c r="F221" s="53">
        <v>113090.62</v>
      </c>
      <c r="G221" s="53">
        <v>0</v>
      </c>
      <c r="H221" s="53">
        <v>0</v>
      </c>
      <c r="I221" s="53">
        <v>0</v>
      </c>
      <c r="J221" s="53">
        <v>0</v>
      </c>
      <c r="K221" s="53">
        <v>0</v>
      </c>
      <c r="L221" s="53">
        <v>0</v>
      </c>
      <c r="M221" s="43"/>
      <c r="N221" s="53">
        <v>0</v>
      </c>
      <c r="O221" s="53">
        <v>0</v>
      </c>
      <c r="P221" s="53">
        <v>0</v>
      </c>
      <c r="Q221" s="53">
        <v>113090.62</v>
      </c>
    </row>
    <row r="222" spans="1:17" ht="26.45">
      <c r="A222" s="44">
        <v>2024</v>
      </c>
      <c r="B222" s="46" t="s">
        <v>1411</v>
      </c>
      <c r="C222" s="46" t="s">
        <v>8972</v>
      </c>
      <c r="D222" s="44" t="s">
        <v>189</v>
      </c>
      <c r="E222" s="45" t="s">
        <v>785</v>
      </c>
      <c r="F222" s="54">
        <v>4955.32</v>
      </c>
      <c r="G222" s="54">
        <v>0</v>
      </c>
      <c r="H222" s="54">
        <v>0</v>
      </c>
      <c r="I222" s="54">
        <v>0</v>
      </c>
      <c r="J222" s="54">
        <v>0</v>
      </c>
      <c r="K222" s="54">
        <v>0</v>
      </c>
      <c r="L222" s="54">
        <v>-4955.32</v>
      </c>
      <c r="M222" s="43"/>
      <c r="N222" s="54">
        <v>0</v>
      </c>
      <c r="O222" s="54">
        <v>0</v>
      </c>
      <c r="P222" s="54">
        <v>0</v>
      </c>
      <c r="Q222" s="54">
        <v>0</v>
      </c>
    </row>
    <row r="223" spans="1:17" ht="26.45">
      <c r="A223" s="47">
        <v>2024</v>
      </c>
      <c r="B223" s="50" t="s">
        <v>1411</v>
      </c>
      <c r="C223" s="50" t="s">
        <v>8972</v>
      </c>
      <c r="D223" s="47" t="s">
        <v>786</v>
      </c>
      <c r="E223" s="48" t="s">
        <v>787</v>
      </c>
      <c r="F223" s="53">
        <v>28763.39</v>
      </c>
      <c r="G223" s="53">
        <v>62.4</v>
      </c>
      <c r="H223" s="53">
        <v>0</v>
      </c>
      <c r="I223" s="53">
        <v>0</v>
      </c>
      <c r="J223" s="53">
        <v>0</v>
      </c>
      <c r="K223" s="53">
        <v>0</v>
      </c>
      <c r="L223" s="53">
        <v>0</v>
      </c>
      <c r="M223" s="43"/>
      <c r="N223" s="53">
        <v>0</v>
      </c>
      <c r="O223" s="53">
        <v>0</v>
      </c>
      <c r="P223" s="53">
        <v>0</v>
      </c>
      <c r="Q223" s="53">
        <v>28825.79</v>
      </c>
    </row>
    <row r="224" spans="1:17" ht="26.45">
      <c r="A224" s="44">
        <v>2024</v>
      </c>
      <c r="B224" s="46" t="s">
        <v>1411</v>
      </c>
      <c r="C224" s="46" t="s">
        <v>8972</v>
      </c>
      <c r="D224" s="44" t="s">
        <v>190</v>
      </c>
      <c r="E224" s="45" t="s">
        <v>788</v>
      </c>
      <c r="F224" s="54">
        <v>44723.34</v>
      </c>
      <c r="G224" s="54">
        <v>0</v>
      </c>
      <c r="H224" s="54">
        <v>0</v>
      </c>
      <c r="I224" s="54">
        <v>0</v>
      </c>
      <c r="J224" s="54">
        <v>0</v>
      </c>
      <c r="K224" s="54">
        <v>0</v>
      </c>
      <c r="L224" s="54">
        <v>0</v>
      </c>
      <c r="M224" s="43"/>
      <c r="N224" s="54">
        <v>0</v>
      </c>
      <c r="O224" s="54">
        <v>0</v>
      </c>
      <c r="P224" s="54">
        <v>0</v>
      </c>
      <c r="Q224" s="54">
        <v>44723.34</v>
      </c>
    </row>
    <row r="225" spans="1:17" ht="39.6">
      <c r="A225" s="47">
        <v>2024</v>
      </c>
      <c r="B225" s="50" t="s">
        <v>1411</v>
      </c>
      <c r="C225" s="50" t="s">
        <v>8972</v>
      </c>
      <c r="D225" s="47" t="s">
        <v>191</v>
      </c>
      <c r="E225" s="48" t="s">
        <v>789</v>
      </c>
      <c r="F225" s="53">
        <v>57003.89</v>
      </c>
      <c r="G225" s="53">
        <v>13.66</v>
      </c>
      <c r="H225" s="53">
        <v>0</v>
      </c>
      <c r="I225" s="53">
        <v>0</v>
      </c>
      <c r="J225" s="53">
        <v>0</v>
      </c>
      <c r="K225" s="53">
        <v>0</v>
      </c>
      <c r="L225" s="53">
        <v>0</v>
      </c>
      <c r="M225" s="43"/>
      <c r="N225" s="53">
        <v>0</v>
      </c>
      <c r="O225" s="53">
        <v>0</v>
      </c>
      <c r="P225" s="53">
        <v>0</v>
      </c>
      <c r="Q225" s="53">
        <v>57017.55</v>
      </c>
    </row>
    <row r="226" spans="1:17" ht="39.6">
      <c r="A226" s="44">
        <v>2024</v>
      </c>
      <c r="B226" s="46" t="s">
        <v>1411</v>
      </c>
      <c r="C226" s="46" t="s">
        <v>8972</v>
      </c>
      <c r="D226" s="44" t="s">
        <v>790</v>
      </c>
      <c r="E226" s="45" t="s">
        <v>791</v>
      </c>
      <c r="F226" s="54">
        <v>53385.22</v>
      </c>
      <c r="G226" s="54">
        <v>10891.33</v>
      </c>
      <c r="H226" s="54">
        <v>0</v>
      </c>
      <c r="I226" s="54">
        <v>0</v>
      </c>
      <c r="J226" s="54">
        <v>0</v>
      </c>
      <c r="K226" s="54">
        <v>0</v>
      </c>
      <c r="L226" s="54">
        <v>0</v>
      </c>
      <c r="M226" s="43"/>
      <c r="N226" s="54">
        <v>0</v>
      </c>
      <c r="O226" s="54">
        <v>0</v>
      </c>
      <c r="P226" s="54">
        <v>0</v>
      </c>
      <c r="Q226" s="54">
        <v>64276.55</v>
      </c>
    </row>
    <row r="227" spans="1:17" ht="26.45">
      <c r="A227" s="47">
        <v>2024</v>
      </c>
      <c r="B227" s="50" t="s">
        <v>1411</v>
      </c>
      <c r="C227" s="50" t="s">
        <v>8972</v>
      </c>
      <c r="D227" s="47" t="s">
        <v>192</v>
      </c>
      <c r="E227" s="48" t="s">
        <v>792</v>
      </c>
      <c r="F227" s="53">
        <v>141254.04</v>
      </c>
      <c r="G227" s="53">
        <v>0</v>
      </c>
      <c r="H227" s="53">
        <v>0</v>
      </c>
      <c r="I227" s="53">
        <v>0</v>
      </c>
      <c r="J227" s="53">
        <v>0</v>
      </c>
      <c r="K227" s="53">
        <v>0</v>
      </c>
      <c r="L227" s="53">
        <v>0</v>
      </c>
      <c r="M227" s="43"/>
      <c r="N227" s="53">
        <v>0</v>
      </c>
      <c r="O227" s="53">
        <v>0</v>
      </c>
      <c r="P227" s="53">
        <v>0</v>
      </c>
      <c r="Q227" s="53">
        <v>141254.04</v>
      </c>
    </row>
    <row r="228" spans="1:17" ht="26.45">
      <c r="A228" s="44">
        <v>2024</v>
      </c>
      <c r="B228" s="46" t="s">
        <v>1411</v>
      </c>
      <c r="C228" s="46" t="s">
        <v>8972</v>
      </c>
      <c r="D228" s="44" t="s">
        <v>193</v>
      </c>
      <c r="E228" s="45" t="s">
        <v>793</v>
      </c>
      <c r="F228" s="54">
        <v>34895.050000000003</v>
      </c>
      <c r="G228" s="54">
        <v>597.16999999999996</v>
      </c>
      <c r="H228" s="54">
        <v>0</v>
      </c>
      <c r="I228" s="54">
        <v>0</v>
      </c>
      <c r="J228" s="54">
        <v>0</v>
      </c>
      <c r="K228" s="54">
        <v>0</v>
      </c>
      <c r="L228" s="54">
        <v>0</v>
      </c>
      <c r="M228" s="43"/>
      <c r="N228" s="54">
        <v>0</v>
      </c>
      <c r="O228" s="54">
        <v>0</v>
      </c>
      <c r="P228" s="54">
        <v>0</v>
      </c>
      <c r="Q228" s="54">
        <v>35492.22</v>
      </c>
    </row>
    <row r="229" spans="1:17" ht="26.45">
      <c r="A229" s="47">
        <v>2024</v>
      </c>
      <c r="B229" s="50" t="s">
        <v>1411</v>
      </c>
      <c r="C229" s="50" t="s">
        <v>8972</v>
      </c>
      <c r="D229" s="47" t="s">
        <v>194</v>
      </c>
      <c r="E229" s="48" t="s">
        <v>794</v>
      </c>
      <c r="F229" s="53">
        <v>146356.70000000001</v>
      </c>
      <c r="G229" s="53">
        <v>0</v>
      </c>
      <c r="H229" s="53">
        <v>0</v>
      </c>
      <c r="I229" s="53">
        <v>0</v>
      </c>
      <c r="J229" s="53">
        <v>0</v>
      </c>
      <c r="K229" s="53">
        <v>0</v>
      </c>
      <c r="L229" s="53">
        <v>0</v>
      </c>
      <c r="M229" s="43"/>
      <c r="N229" s="53">
        <v>0</v>
      </c>
      <c r="O229" s="53">
        <v>0</v>
      </c>
      <c r="P229" s="53">
        <v>0</v>
      </c>
      <c r="Q229" s="53">
        <v>146356.70000000001</v>
      </c>
    </row>
    <row r="230" spans="1:17" ht="26.45">
      <c r="A230" s="44">
        <v>2024</v>
      </c>
      <c r="B230" s="46" t="s">
        <v>1411</v>
      </c>
      <c r="C230" s="46" t="s">
        <v>8972</v>
      </c>
      <c r="D230" s="44" t="s">
        <v>195</v>
      </c>
      <c r="E230" s="45" t="s">
        <v>795</v>
      </c>
      <c r="F230" s="54">
        <v>521178.08</v>
      </c>
      <c r="G230" s="54">
        <v>139.18</v>
      </c>
      <c r="H230" s="54">
        <v>0</v>
      </c>
      <c r="I230" s="54">
        <v>0</v>
      </c>
      <c r="J230" s="54">
        <v>0</v>
      </c>
      <c r="K230" s="54">
        <v>0</v>
      </c>
      <c r="L230" s="54">
        <v>0</v>
      </c>
      <c r="M230" s="43"/>
      <c r="N230" s="54">
        <v>0</v>
      </c>
      <c r="O230" s="54">
        <v>0</v>
      </c>
      <c r="P230" s="54">
        <v>0</v>
      </c>
      <c r="Q230" s="54">
        <v>521317.26</v>
      </c>
    </row>
    <row r="231" spans="1:17" ht="26.45">
      <c r="A231" s="47">
        <v>2024</v>
      </c>
      <c r="B231" s="50" t="s">
        <v>1411</v>
      </c>
      <c r="C231" s="50" t="s">
        <v>8972</v>
      </c>
      <c r="D231" s="47" t="s">
        <v>196</v>
      </c>
      <c r="E231" s="48" t="s">
        <v>796</v>
      </c>
      <c r="F231" s="53">
        <v>132381.74</v>
      </c>
      <c r="G231" s="53">
        <v>39659.18</v>
      </c>
      <c r="H231" s="53">
        <v>0</v>
      </c>
      <c r="I231" s="53">
        <v>0</v>
      </c>
      <c r="J231" s="53">
        <v>0</v>
      </c>
      <c r="K231" s="53">
        <v>0</v>
      </c>
      <c r="L231" s="53">
        <v>0</v>
      </c>
      <c r="M231" s="43"/>
      <c r="N231" s="53">
        <v>0</v>
      </c>
      <c r="O231" s="53">
        <v>0</v>
      </c>
      <c r="P231" s="53">
        <v>0</v>
      </c>
      <c r="Q231" s="53">
        <v>172040.92</v>
      </c>
    </row>
    <row r="232" spans="1:17" ht="26.45">
      <c r="A232" s="44">
        <v>2024</v>
      </c>
      <c r="B232" s="46" t="s">
        <v>1411</v>
      </c>
      <c r="C232" s="46" t="s">
        <v>8972</v>
      </c>
      <c r="D232" s="44" t="s">
        <v>197</v>
      </c>
      <c r="E232" s="45" t="s">
        <v>797</v>
      </c>
      <c r="F232" s="54">
        <v>18055.900000000001</v>
      </c>
      <c r="G232" s="54">
        <v>268.68</v>
      </c>
      <c r="H232" s="54">
        <v>0</v>
      </c>
      <c r="I232" s="54">
        <v>0</v>
      </c>
      <c r="J232" s="54">
        <v>0</v>
      </c>
      <c r="K232" s="54">
        <v>0</v>
      </c>
      <c r="L232" s="54">
        <v>0</v>
      </c>
      <c r="M232" s="43"/>
      <c r="N232" s="54">
        <v>0</v>
      </c>
      <c r="O232" s="54">
        <v>0</v>
      </c>
      <c r="P232" s="54">
        <v>0</v>
      </c>
      <c r="Q232" s="54">
        <v>18324.580000000002</v>
      </c>
    </row>
    <row r="233" spans="1:17" ht="39.6">
      <c r="A233" s="47">
        <v>2024</v>
      </c>
      <c r="B233" s="50" t="s">
        <v>1411</v>
      </c>
      <c r="C233" s="50" t="s">
        <v>8972</v>
      </c>
      <c r="D233" s="47" t="s">
        <v>198</v>
      </c>
      <c r="E233" s="48" t="s">
        <v>798</v>
      </c>
      <c r="F233" s="53">
        <v>26709.91</v>
      </c>
      <c r="G233" s="53">
        <v>2873.86</v>
      </c>
      <c r="H233" s="53">
        <v>0</v>
      </c>
      <c r="I233" s="53">
        <v>0</v>
      </c>
      <c r="J233" s="53">
        <v>0</v>
      </c>
      <c r="K233" s="53">
        <v>0</v>
      </c>
      <c r="L233" s="53">
        <v>0</v>
      </c>
      <c r="M233" s="43"/>
      <c r="N233" s="53">
        <v>0</v>
      </c>
      <c r="O233" s="53">
        <v>0</v>
      </c>
      <c r="P233" s="53">
        <v>0</v>
      </c>
      <c r="Q233" s="53">
        <v>29583.77</v>
      </c>
    </row>
    <row r="234" spans="1:17" ht="26.45">
      <c r="A234" s="44">
        <v>2024</v>
      </c>
      <c r="B234" s="46" t="s">
        <v>1411</v>
      </c>
      <c r="C234" s="46" t="s">
        <v>8972</v>
      </c>
      <c r="D234" s="44" t="s">
        <v>199</v>
      </c>
      <c r="E234" s="45" t="s">
        <v>799</v>
      </c>
      <c r="F234" s="54">
        <v>78032.25</v>
      </c>
      <c r="G234" s="54">
        <v>1214.9100000000001</v>
      </c>
      <c r="H234" s="54">
        <v>0</v>
      </c>
      <c r="I234" s="54">
        <v>0</v>
      </c>
      <c r="J234" s="54">
        <v>0</v>
      </c>
      <c r="K234" s="54">
        <v>0</v>
      </c>
      <c r="L234" s="54">
        <v>0</v>
      </c>
      <c r="M234" s="43"/>
      <c r="N234" s="54">
        <v>0</v>
      </c>
      <c r="O234" s="54">
        <v>0</v>
      </c>
      <c r="P234" s="54">
        <v>0</v>
      </c>
      <c r="Q234" s="54">
        <v>79247.16</v>
      </c>
    </row>
    <row r="235" spans="1:17" ht="26.45">
      <c r="A235" s="47">
        <v>2024</v>
      </c>
      <c r="B235" s="50" t="s">
        <v>1411</v>
      </c>
      <c r="C235" s="50" t="s">
        <v>8972</v>
      </c>
      <c r="D235" s="47" t="s">
        <v>200</v>
      </c>
      <c r="E235" s="48" t="s">
        <v>800</v>
      </c>
      <c r="F235" s="53">
        <v>17507.240000000002</v>
      </c>
      <c r="G235" s="53">
        <v>0</v>
      </c>
      <c r="H235" s="53">
        <v>0</v>
      </c>
      <c r="I235" s="53">
        <v>0</v>
      </c>
      <c r="J235" s="53">
        <v>0</v>
      </c>
      <c r="K235" s="53">
        <v>0</v>
      </c>
      <c r="L235" s="53">
        <v>-17507.240000000002</v>
      </c>
      <c r="M235" s="43"/>
      <c r="N235" s="53">
        <v>0</v>
      </c>
      <c r="O235" s="53">
        <v>0</v>
      </c>
      <c r="P235" s="53">
        <v>0</v>
      </c>
      <c r="Q235" s="53">
        <v>0</v>
      </c>
    </row>
    <row r="236" spans="1:17" ht="26.45">
      <c r="A236" s="44">
        <v>2024</v>
      </c>
      <c r="B236" s="46" t="s">
        <v>1411</v>
      </c>
      <c r="C236" s="46" t="s">
        <v>8972</v>
      </c>
      <c r="D236" s="44" t="s">
        <v>801</v>
      </c>
      <c r="E236" s="45" t="s">
        <v>802</v>
      </c>
      <c r="F236" s="54">
        <v>81385.710000000006</v>
      </c>
      <c r="G236" s="54">
        <v>145.80000000000001</v>
      </c>
      <c r="H236" s="54">
        <v>0</v>
      </c>
      <c r="I236" s="54">
        <v>0</v>
      </c>
      <c r="J236" s="54">
        <v>0</v>
      </c>
      <c r="K236" s="54">
        <v>0</v>
      </c>
      <c r="L236" s="54">
        <v>0</v>
      </c>
      <c r="M236" s="43"/>
      <c r="N236" s="54">
        <v>0</v>
      </c>
      <c r="O236" s="54">
        <v>0</v>
      </c>
      <c r="P236" s="54">
        <v>0</v>
      </c>
      <c r="Q236" s="54">
        <v>81531.509999999995</v>
      </c>
    </row>
    <row r="237" spans="1:17" ht="26.45">
      <c r="A237" s="47">
        <v>2024</v>
      </c>
      <c r="B237" s="50" t="s">
        <v>1411</v>
      </c>
      <c r="C237" s="50" t="s">
        <v>8972</v>
      </c>
      <c r="D237" s="47" t="s">
        <v>201</v>
      </c>
      <c r="E237" s="48" t="s">
        <v>803</v>
      </c>
      <c r="F237" s="53">
        <v>28359.119999999999</v>
      </c>
      <c r="G237" s="53">
        <v>0</v>
      </c>
      <c r="H237" s="53">
        <v>0</v>
      </c>
      <c r="I237" s="53">
        <v>0</v>
      </c>
      <c r="J237" s="53">
        <v>0</v>
      </c>
      <c r="K237" s="53">
        <v>0</v>
      </c>
      <c r="L237" s="53">
        <v>0</v>
      </c>
      <c r="M237" s="43"/>
      <c r="N237" s="53">
        <v>0</v>
      </c>
      <c r="O237" s="53">
        <v>0</v>
      </c>
      <c r="P237" s="53">
        <v>0</v>
      </c>
      <c r="Q237" s="53">
        <v>28359.119999999999</v>
      </c>
    </row>
    <row r="238" spans="1:17" ht="26.45">
      <c r="A238" s="44">
        <v>2024</v>
      </c>
      <c r="B238" s="46" t="s">
        <v>1411</v>
      </c>
      <c r="C238" s="46" t="s">
        <v>8972</v>
      </c>
      <c r="D238" s="44" t="s">
        <v>202</v>
      </c>
      <c r="E238" s="45" t="s">
        <v>804</v>
      </c>
      <c r="F238" s="54">
        <v>198231.87</v>
      </c>
      <c r="G238" s="54">
        <v>94418.36</v>
      </c>
      <c r="H238" s="54">
        <v>0</v>
      </c>
      <c r="I238" s="54">
        <v>0</v>
      </c>
      <c r="J238" s="54">
        <v>0</v>
      </c>
      <c r="K238" s="54">
        <v>0</v>
      </c>
      <c r="L238" s="54">
        <v>0</v>
      </c>
      <c r="M238" s="43"/>
      <c r="N238" s="54">
        <v>0</v>
      </c>
      <c r="O238" s="54">
        <v>0</v>
      </c>
      <c r="P238" s="54">
        <v>0</v>
      </c>
      <c r="Q238" s="54">
        <v>292650.23</v>
      </c>
    </row>
    <row r="239" spans="1:17" ht="26.45">
      <c r="A239" s="47">
        <v>2024</v>
      </c>
      <c r="B239" s="50" t="s">
        <v>1411</v>
      </c>
      <c r="C239" s="50" t="s">
        <v>8972</v>
      </c>
      <c r="D239" s="47" t="s">
        <v>203</v>
      </c>
      <c r="E239" s="48" t="s">
        <v>805</v>
      </c>
      <c r="F239" s="53">
        <v>181996.69</v>
      </c>
      <c r="G239" s="53">
        <v>0</v>
      </c>
      <c r="H239" s="53">
        <v>0</v>
      </c>
      <c r="I239" s="53">
        <v>0</v>
      </c>
      <c r="J239" s="53">
        <v>0</v>
      </c>
      <c r="K239" s="53">
        <v>0</v>
      </c>
      <c r="L239" s="53">
        <v>0</v>
      </c>
      <c r="M239" s="43"/>
      <c r="N239" s="53">
        <v>0</v>
      </c>
      <c r="O239" s="53">
        <v>0</v>
      </c>
      <c r="P239" s="53">
        <v>0</v>
      </c>
      <c r="Q239" s="53">
        <v>181996.69</v>
      </c>
    </row>
    <row r="240" spans="1:17" ht="26.45">
      <c r="A240" s="44">
        <v>2024</v>
      </c>
      <c r="B240" s="46" t="s">
        <v>1411</v>
      </c>
      <c r="C240" s="46" t="s">
        <v>8972</v>
      </c>
      <c r="D240" s="44" t="s">
        <v>204</v>
      </c>
      <c r="E240" s="45" t="s">
        <v>807</v>
      </c>
      <c r="F240" s="54">
        <v>73182.559999999998</v>
      </c>
      <c r="G240" s="54">
        <v>26892.639999999999</v>
      </c>
      <c r="H240" s="54">
        <v>0</v>
      </c>
      <c r="I240" s="54">
        <v>0</v>
      </c>
      <c r="J240" s="54">
        <v>0</v>
      </c>
      <c r="K240" s="54">
        <v>0</v>
      </c>
      <c r="L240" s="54">
        <v>0</v>
      </c>
      <c r="M240" s="43"/>
      <c r="N240" s="54">
        <v>0</v>
      </c>
      <c r="O240" s="54">
        <v>0</v>
      </c>
      <c r="P240" s="54">
        <v>0</v>
      </c>
      <c r="Q240" s="54">
        <v>100075.2</v>
      </c>
    </row>
    <row r="241" spans="1:17" ht="26.45">
      <c r="A241" s="47">
        <v>2024</v>
      </c>
      <c r="B241" s="50" t="s">
        <v>1411</v>
      </c>
      <c r="C241" s="50" t="s">
        <v>8972</v>
      </c>
      <c r="D241" s="47" t="s">
        <v>806</v>
      </c>
      <c r="E241" s="48" t="s">
        <v>807</v>
      </c>
      <c r="F241" s="53">
        <v>56343.64</v>
      </c>
      <c r="G241" s="53">
        <v>25709.17</v>
      </c>
      <c r="H241" s="53">
        <v>0</v>
      </c>
      <c r="I241" s="53">
        <v>0</v>
      </c>
      <c r="J241" s="53">
        <v>0</v>
      </c>
      <c r="K241" s="53">
        <v>0</v>
      </c>
      <c r="L241" s="53">
        <v>0</v>
      </c>
      <c r="M241" s="43"/>
      <c r="N241" s="53">
        <v>0</v>
      </c>
      <c r="O241" s="53">
        <v>0</v>
      </c>
      <c r="P241" s="53">
        <v>0</v>
      </c>
      <c r="Q241" s="53">
        <v>82052.81</v>
      </c>
    </row>
    <row r="242" spans="1:17" ht="26.45">
      <c r="A242" s="44">
        <v>2024</v>
      </c>
      <c r="B242" s="46" t="s">
        <v>1411</v>
      </c>
      <c r="C242" s="46" t="s">
        <v>8972</v>
      </c>
      <c r="D242" s="44" t="s">
        <v>808</v>
      </c>
      <c r="E242" s="45" t="s">
        <v>809</v>
      </c>
      <c r="F242" s="54">
        <v>12304.71</v>
      </c>
      <c r="G242" s="54">
        <v>0</v>
      </c>
      <c r="H242" s="54">
        <v>0</v>
      </c>
      <c r="I242" s="54">
        <v>0</v>
      </c>
      <c r="J242" s="54">
        <v>0</v>
      </c>
      <c r="K242" s="54">
        <v>0</v>
      </c>
      <c r="L242" s="54">
        <v>0</v>
      </c>
      <c r="M242" s="43"/>
      <c r="N242" s="54">
        <v>0</v>
      </c>
      <c r="O242" s="54">
        <v>0</v>
      </c>
      <c r="P242" s="54">
        <v>0</v>
      </c>
      <c r="Q242" s="54">
        <v>12304.71</v>
      </c>
    </row>
    <row r="243" spans="1:17" ht="26.45">
      <c r="A243" s="47">
        <v>2024</v>
      </c>
      <c r="B243" s="50" t="s">
        <v>1411</v>
      </c>
      <c r="C243" s="50" t="s">
        <v>8972</v>
      </c>
      <c r="D243" s="47" t="s">
        <v>810</v>
      </c>
      <c r="E243" s="48" t="s">
        <v>811</v>
      </c>
      <c r="F243" s="53">
        <v>52321.24</v>
      </c>
      <c r="G243" s="53">
        <v>22102.61</v>
      </c>
      <c r="H243" s="53">
        <v>0</v>
      </c>
      <c r="I243" s="53">
        <v>0</v>
      </c>
      <c r="J243" s="53">
        <v>0</v>
      </c>
      <c r="K243" s="53">
        <v>0</v>
      </c>
      <c r="L243" s="53">
        <v>0</v>
      </c>
      <c r="M243" s="43"/>
      <c r="N243" s="53">
        <v>0</v>
      </c>
      <c r="O243" s="53">
        <v>0</v>
      </c>
      <c r="P243" s="53">
        <v>0</v>
      </c>
      <c r="Q243" s="53">
        <v>74423.850000000006</v>
      </c>
    </row>
    <row r="244" spans="1:17" ht="39.6">
      <c r="A244" s="44">
        <v>2024</v>
      </c>
      <c r="B244" s="46" t="s">
        <v>1411</v>
      </c>
      <c r="C244" s="46" t="s">
        <v>8972</v>
      </c>
      <c r="D244" s="44" t="s">
        <v>205</v>
      </c>
      <c r="E244" s="45" t="s">
        <v>812</v>
      </c>
      <c r="F244" s="54">
        <v>60974.15</v>
      </c>
      <c r="G244" s="54">
        <v>4824.84</v>
      </c>
      <c r="H244" s="54">
        <v>0</v>
      </c>
      <c r="I244" s="54">
        <v>0</v>
      </c>
      <c r="J244" s="54">
        <v>0</v>
      </c>
      <c r="K244" s="54">
        <v>0</v>
      </c>
      <c r="L244" s="54">
        <v>0</v>
      </c>
      <c r="M244" s="43"/>
      <c r="N244" s="54">
        <v>0</v>
      </c>
      <c r="O244" s="54">
        <v>0</v>
      </c>
      <c r="P244" s="54">
        <v>0</v>
      </c>
      <c r="Q244" s="54">
        <v>65798.990000000005</v>
      </c>
    </row>
    <row r="245" spans="1:17" ht="26.45">
      <c r="A245" s="47">
        <v>2024</v>
      </c>
      <c r="B245" s="50" t="s">
        <v>1411</v>
      </c>
      <c r="C245" s="50" t="s">
        <v>8972</v>
      </c>
      <c r="D245" s="47" t="s">
        <v>206</v>
      </c>
      <c r="E245" s="48" t="s">
        <v>813</v>
      </c>
      <c r="F245" s="53">
        <v>62795.24</v>
      </c>
      <c r="G245" s="53">
        <v>0</v>
      </c>
      <c r="H245" s="53">
        <v>0</v>
      </c>
      <c r="I245" s="53">
        <v>0</v>
      </c>
      <c r="J245" s="53">
        <v>0</v>
      </c>
      <c r="K245" s="53">
        <v>0</v>
      </c>
      <c r="L245" s="53">
        <v>0</v>
      </c>
      <c r="M245" s="43"/>
      <c r="N245" s="53">
        <v>0</v>
      </c>
      <c r="O245" s="53">
        <v>0</v>
      </c>
      <c r="P245" s="53">
        <v>0</v>
      </c>
      <c r="Q245" s="53">
        <v>62795.24</v>
      </c>
    </row>
    <row r="246" spans="1:17" ht="26.45">
      <c r="A246" s="44">
        <v>2024</v>
      </c>
      <c r="B246" s="46" t="s">
        <v>1411</v>
      </c>
      <c r="C246" s="46" t="s">
        <v>8972</v>
      </c>
      <c r="D246" s="44" t="s">
        <v>207</v>
      </c>
      <c r="E246" s="45" t="s">
        <v>814</v>
      </c>
      <c r="F246" s="54">
        <v>223853.01</v>
      </c>
      <c r="G246" s="54">
        <v>0</v>
      </c>
      <c r="H246" s="54">
        <v>0</v>
      </c>
      <c r="I246" s="54">
        <v>0</v>
      </c>
      <c r="J246" s="54">
        <v>0</v>
      </c>
      <c r="K246" s="54">
        <v>0</v>
      </c>
      <c r="L246" s="54">
        <v>0</v>
      </c>
      <c r="M246" s="43"/>
      <c r="N246" s="54">
        <v>0</v>
      </c>
      <c r="O246" s="54">
        <v>0</v>
      </c>
      <c r="P246" s="54">
        <v>0</v>
      </c>
      <c r="Q246" s="54">
        <v>223853.01</v>
      </c>
    </row>
    <row r="247" spans="1:17" ht="26.45">
      <c r="A247" s="47">
        <v>2024</v>
      </c>
      <c r="B247" s="50" t="s">
        <v>1411</v>
      </c>
      <c r="C247" s="50" t="s">
        <v>8972</v>
      </c>
      <c r="D247" s="47" t="s">
        <v>815</v>
      </c>
      <c r="E247" s="48" t="s">
        <v>816</v>
      </c>
      <c r="F247" s="53">
        <v>45027.14</v>
      </c>
      <c r="G247" s="53">
        <v>0</v>
      </c>
      <c r="H247" s="53">
        <v>0</v>
      </c>
      <c r="I247" s="53">
        <v>0</v>
      </c>
      <c r="J247" s="53">
        <v>0</v>
      </c>
      <c r="K247" s="53">
        <v>0</v>
      </c>
      <c r="L247" s="53">
        <v>0</v>
      </c>
      <c r="M247" s="43"/>
      <c r="N247" s="53">
        <v>0</v>
      </c>
      <c r="O247" s="53">
        <v>0</v>
      </c>
      <c r="P247" s="53">
        <v>0</v>
      </c>
      <c r="Q247" s="53">
        <v>45027.14</v>
      </c>
    </row>
    <row r="248" spans="1:17" ht="26.45">
      <c r="A248" s="44">
        <v>2024</v>
      </c>
      <c r="B248" s="46" t="s">
        <v>1411</v>
      </c>
      <c r="C248" s="46" t="s">
        <v>8972</v>
      </c>
      <c r="D248" s="44" t="s">
        <v>208</v>
      </c>
      <c r="E248" s="45" t="s">
        <v>817</v>
      </c>
      <c r="F248" s="54">
        <v>54456.78</v>
      </c>
      <c r="G248" s="54">
        <v>0</v>
      </c>
      <c r="H248" s="54">
        <v>0</v>
      </c>
      <c r="I248" s="54">
        <v>0</v>
      </c>
      <c r="J248" s="54">
        <v>0</v>
      </c>
      <c r="K248" s="54">
        <v>0</v>
      </c>
      <c r="L248" s="54">
        <v>0</v>
      </c>
      <c r="M248" s="43"/>
      <c r="N248" s="54">
        <v>0</v>
      </c>
      <c r="O248" s="54">
        <v>0</v>
      </c>
      <c r="P248" s="54">
        <v>0</v>
      </c>
      <c r="Q248" s="54">
        <v>54456.78</v>
      </c>
    </row>
    <row r="249" spans="1:17" ht="26.45">
      <c r="A249" s="47">
        <v>2024</v>
      </c>
      <c r="B249" s="50" t="s">
        <v>1411</v>
      </c>
      <c r="C249" s="50" t="s">
        <v>8972</v>
      </c>
      <c r="D249" s="47" t="s">
        <v>209</v>
      </c>
      <c r="E249" s="48" t="s">
        <v>818</v>
      </c>
      <c r="F249" s="53">
        <v>25682.48</v>
      </c>
      <c r="G249" s="53">
        <v>0</v>
      </c>
      <c r="H249" s="53">
        <v>0</v>
      </c>
      <c r="I249" s="53">
        <v>0</v>
      </c>
      <c r="J249" s="53">
        <v>0</v>
      </c>
      <c r="K249" s="53">
        <v>0</v>
      </c>
      <c r="L249" s="53">
        <v>0</v>
      </c>
      <c r="M249" s="43"/>
      <c r="N249" s="53">
        <v>0</v>
      </c>
      <c r="O249" s="53">
        <v>0</v>
      </c>
      <c r="P249" s="53">
        <v>0</v>
      </c>
      <c r="Q249" s="53">
        <v>25682.48</v>
      </c>
    </row>
    <row r="250" spans="1:17" ht="26.45">
      <c r="A250" s="44">
        <v>2024</v>
      </c>
      <c r="B250" s="46" t="s">
        <v>1411</v>
      </c>
      <c r="C250" s="46" t="s">
        <v>8972</v>
      </c>
      <c r="D250" s="44" t="s">
        <v>210</v>
      </c>
      <c r="E250" s="45" t="s">
        <v>819</v>
      </c>
      <c r="F250" s="54">
        <v>2269244.56</v>
      </c>
      <c r="G250" s="54">
        <v>167352.85</v>
      </c>
      <c r="H250" s="54">
        <v>0</v>
      </c>
      <c r="I250" s="54">
        <v>0</v>
      </c>
      <c r="J250" s="54">
        <v>0</v>
      </c>
      <c r="K250" s="54">
        <v>0</v>
      </c>
      <c r="L250" s="54">
        <v>0</v>
      </c>
      <c r="M250" s="43"/>
      <c r="N250" s="54">
        <v>0</v>
      </c>
      <c r="O250" s="54">
        <v>0</v>
      </c>
      <c r="P250" s="54">
        <v>0</v>
      </c>
      <c r="Q250" s="54">
        <v>2436597.41</v>
      </c>
    </row>
    <row r="251" spans="1:17" ht="26.45">
      <c r="A251" s="47">
        <v>2024</v>
      </c>
      <c r="B251" s="50" t="s">
        <v>1411</v>
      </c>
      <c r="C251" s="50" t="s">
        <v>8972</v>
      </c>
      <c r="D251" s="47" t="s">
        <v>211</v>
      </c>
      <c r="E251" s="48" t="s">
        <v>820</v>
      </c>
      <c r="F251" s="53">
        <v>1522485.37</v>
      </c>
      <c r="G251" s="53">
        <v>96166.96</v>
      </c>
      <c r="H251" s="53">
        <v>0</v>
      </c>
      <c r="I251" s="53">
        <v>0</v>
      </c>
      <c r="J251" s="53">
        <v>0</v>
      </c>
      <c r="K251" s="53">
        <v>0</v>
      </c>
      <c r="L251" s="53">
        <v>0</v>
      </c>
      <c r="M251" s="43"/>
      <c r="N251" s="53">
        <v>0</v>
      </c>
      <c r="O251" s="53">
        <v>0</v>
      </c>
      <c r="P251" s="53">
        <v>0</v>
      </c>
      <c r="Q251" s="53">
        <v>1618652.33</v>
      </c>
    </row>
    <row r="252" spans="1:17" ht="26.45">
      <c r="A252" s="44">
        <v>2024</v>
      </c>
      <c r="B252" s="46" t="s">
        <v>1411</v>
      </c>
      <c r="C252" s="46" t="s">
        <v>8972</v>
      </c>
      <c r="D252" s="44" t="s">
        <v>212</v>
      </c>
      <c r="E252" s="45" t="s">
        <v>821</v>
      </c>
      <c r="F252" s="54">
        <v>1169223.48</v>
      </c>
      <c r="G252" s="54">
        <v>35108.86</v>
      </c>
      <c r="H252" s="54">
        <v>0</v>
      </c>
      <c r="I252" s="54">
        <v>0</v>
      </c>
      <c r="J252" s="54">
        <v>0</v>
      </c>
      <c r="K252" s="54">
        <v>0</v>
      </c>
      <c r="L252" s="54">
        <v>0</v>
      </c>
      <c r="M252" s="43"/>
      <c r="N252" s="54">
        <v>0</v>
      </c>
      <c r="O252" s="54">
        <v>0</v>
      </c>
      <c r="P252" s="54">
        <v>0</v>
      </c>
      <c r="Q252" s="54">
        <v>1204332.3400000001</v>
      </c>
    </row>
    <row r="253" spans="1:17" ht="26.45">
      <c r="A253" s="47">
        <v>2024</v>
      </c>
      <c r="B253" s="50" t="s">
        <v>1411</v>
      </c>
      <c r="C253" s="50" t="s">
        <v>8972</v>
      </c>
      <c r="D253" s="47" t="s">
        <v>213</v>
      </c>
      <c r="E253" s="48" t="s">
        <v>822</v>
      </c>
      <c r="F253" s="53">
        <v>165540.45000000001</v>
      </c>
      <c r="G253" s="53">
        <v>23075.19</v>
      </c>
      <c r="H253" s="53">
        <v>0</v>
      </c>
      <c r="I253" s="53">
        <v>0</v>
      </c>
      <c r="J253" s="53">
        <v>0</v>
      </c>
      <c r="K253" s="53">
        <v>0</v>
      </c>
      <c r="L253" s="53">
        <v>0</v>
      </c>
      <c r="M253" s="43"/>
      <c r="N253" s="53">
        <v>0</v>
      </c>
      <c r="O253" s="53">
        <v>0</v>
      </c>
      <c r="P253" s="53">
        <v>0</v>
      </c>
      <c r="Q253" s="53">
        <v>188615.64</v>
      </c>
    </row>
    <row r="254" spans="1:17" ht="26.45">
      <c r="A254" s="44">
        <v>2024</v>
      </c>
      <c r="B254" s="46" t="s">
        <v>1411</v>
      </c>
      <c r="C254" s="46" t="s">
        <v>8972</v>
      </c>
      <c r="D254" s="44" t="s">
        <v>214</v>
      </c>
      <c r="E254" s="45" t="s">
        <v>823</v>
      </c>
      <c r="F254" s="54">
        <v>148691.88</v>
      </c>
      <c r="G254" s="54">
        <v>0</v>
      </c>
      <c r="H254" s="54">
        <v>0</v>
      </c>
      <c r="I254" s="54">
        <v>0</v>
      </c>
      <c r="J254" s="54">
        <v>0</v>
      </c>
      <c r="K254" s="54">
        <v>0</v>
      </c>
      <c r="L254" s="54">
        <v>0</v>
      </c>
      <c r="M254" s="43"/>
      <c r="N254" s="54">
        <v>0</v>
      </c>
      <c r="O254" s="54">
        <v>0</v>
      </c>
      <c r="P254" s="54">
        <v>0</v>
      </c>
      <c r="Q254" s="54">
        <v>148691.88</v>
      </c>
    </row>
    <row r="255" spans="1:17" ht="26.45">
      <c r="A255" s="47">
        <v>2024</v>
      </c>
      <c r="B255" s="50" t="s">
        <v>1411</v>
      </c>
      <c r="C255" s="50" t="s">
        <v>8972</v>
      </c>
      <c r="D255" s="47" t="s">
        <v>215</v>
      </c>
      <c r="E255" s="48" t="s">
        <v>824</v>
      </c>
      <c r="F255" s="53">
        <v>275101.92</v>
      </c>
      <c r="G255" s="53">
        <v>21345.43</v>
      </c>
      <c r="H255" s="53">
        <v>0</v>
      </c>
      <c r="I255" s="53">
        <v>0</v>
      </c>
      <c r="J255" s="53">
        <v>0</v>
      </c>
      <c r="K255" s="53">
        <v>0</v>
      </c>
      <c r="L255" s="53">
        <v>0</v>
      </c>
      <c r="M255" s="43"/>
      <c r="N255" s="53">
        <v>0</v>
      </c>
      <c r="O255" s="53">
        <v>0</v>
      </c>
      <c r="P255" s="53">
        <v>0</v>
      </c>
      <c r="Q255" s="53">
        <v>296447.34999999998</v>
      </c>
    </row>
    <row r="256" spans="1:17" ht="26.45">
      <c r="A256" s="44">
        <v>2024</v>
      </c>
      <c r="B256" s="46" t="s">
        <v>1411</v>
      </c>
      <c r="C256" s="46" t="s">
        <v>8972</v>
      </c>
      <c r="D256" s="44" t="s">
        <v>216</v>
      </c>
      <c r="E256" s="45" t="s">
        <v>825</v>
      </c>
      <c r="F256" s="54">
        <v>747132.04</v>
      </c>
      <c r="G256" s="54">
        <v>18313.990000000002</v>
      </c>
      <c r="H256" s="54">
        <v>0</v>
      </c>
      <c r="I256" s="54">
        <v>0</v>
      </c>
      <c r="J256" s="54">
        <v>0</v>
      </c>
      <c r="K256" s="54">
        <v>0</v>
      </c>
      <c r="L256" s="54">
        <v>0</v>
      </c>
      <c r="M256" s="43"/>
      <c r="N256" s="54">
        <v>0</v>
      </c>
      <c r="O256" s="54">
        <v>0</v>
      </c>
      <c r="P256" s="54">
        <v>0</v>
      </c>
      <c r="Q256" s="54">
        <v>765446.03</v>
      </c>
    </row>
    <row r="257" spans="1:17" ht="26.45">
      <c r="A257" s="47">
        <v>2024</v>
      </c>
      <c r="B257" s="50" t="s">
        <v>1411</v>
      </c>
      <c r="C257" s="50" t="s">
        <v>8972</v>
      </c>
      <c r="D257" s="47" t="s">
        <v>217</v>
      </c>
      <c r="E257" s="48" t="s">
        <v>826</v>
      </c>
      <c r="F257" s="53">
        <v>15185.12</v>
      </c>
      <c r="G257" s="53">
        <v>0</v>
      </c>
      <c r="H257" s="53">
        <v>0</v>
      </c>
      <c r="I257" s="53">
        <v>0</v>
      </c>
      <c r="J257" s="53">
        <v>0</v>
      </c>
      <c r="K257" s="53">
        <v>0</v>
      </c>
      <c r="L257" s="53">
        <v>0</v>
      </c>
      <c r="M257" s="43"/>
      <c r="N257" s="53">
        <v>0</v>
      </c>
      <c r="O257" s="53">
        <v>0</v>
      </c>
      <c r="P257" s="53">
        <v>0</v>
      </c>
      <c r="Q257" s="53">
        <v>15185.12</v>
      </c>
    </row>
    <row r="258" spans="1:17" ht="26.45">
      <c r="A258" s="44">
        <v>2024</v>
      </c>
      <c r="B258" s="46" t="s">
        <v>1411</v>
      </c>
      <c r="C258" s="46" t="s">
        <v>8972</v>
      </c>
      <c r="D258" s="44" t="s">
        <v>218</v>
      </c>
      <c r="E258" s="45" t="s">
        <v>826</v>
      </c>
      <c r="F258" s="54">
        <v>79933.36</v>
      </c>
      <c r="G258" s="54">
        <v>0</v>
      </c>
      <c r="H258" s="54">
        <v>0</v>
      </c>
      <c r="I258" s="54">
        <v>0</v>
      </c>
      <c r="J258" s="54">
        <v>0</v>
      </c>
      <c r="K258" s="54">
        <v>0</v>
      </c>
      <c r="L258" s="54">
        <v>0</v>
      </c>
      <c r="M258" s="43"/>
      <c r="N258" s="54">
        <v>0</v>
      </c>
      <c r="O258" s="54">
        <v>0</v>
      </c>
      <c r="P258" s="54">
        <v>0</v>
      </c>
      <c r="Q258" s="54">
        <v>79933.36</v>
      </c>
    </row>
    <row r="259" spans="1:17" ht="26.45">
      <c r="A259" s="47">
        <v>2024</v>
      </c>
      <c r="B259" s="50" t="s">
        <v>1411</v>
      </c>
      <c r="C259" s="50" t="s">
        <v>8972</v>
      </c>
      <c r="D259" s="47" t="s">
        <v>219</v>
      </c>
      <c r="E259" s="48" t="s">
        <v>827</v>
      </c>
      <c r="F259" s="53">
        <v>46745.21</v>
      </c>
      <c r="G259" s="53">
        <v>45037.49</v>
      </c>
      <c r="H259" s="53">
        <v>0</v>
      </c>
      <c r="I259" s="53">
        <v>0</v>
      </c>
      <c r="J259" s="53">
        <v>0</v>
      </c>
      <c r="K259" s="53">
        <v>0</v>
      </c>
      <c r="L259" s="53">
        <v>0</v>
      </c>
      <c r="M259" s="43"/>
      <c r="N259" s="53">
        <v>0</v>
      </c>
      <c r="O259" s="53">
        <v>0</v>
      </c>
      <c r="P259" s="53">
        <v>0</v>
      </c>
      <c r="Q259" s="53">
        <v>91782.7</v>
      </c>
    </row>
    <row r="260" spans="1:17" ht="26.45">
      <c r="A260" s="44">
        <v>2024</v>
      </c>
      <c r="B260" s="46" t="s">
        <v>1411</v>
      </c>
      <c r="C260" s="46" t="s">
        <v>8972</v>
      </c>
      <c r="D260" s="44" t="s">
        <v>220</v>
      </c>
      <c r="E260" s="45" t="s">
        <v>828</v>
      </c>
      <c r="F260" s="54">
        <v>48678.51</v>
      </c>
      <c r="G260" s="54">
        <v>0</v>
      </c>
      <c r="H260" s="54">
        <v>0</v>
      </c>
      <c r="I260" s="54">
        <v>0</v>
      </c>
      <c r="J260" s="54">
        <v>0</v>
      </c>
      <c r="K260" s="54">
        <v>0</v>
      </c>
      <c r="L260" s="54">
        <v>0</v>
      </c>
      <c r="M260" s="43"/>
      <c r="N260" s="54">
        <v>0</v>
      </c>
      <c r="O260" s="54">
        <v>0</v>
      </c>
      <c r="P260" s="54">
        <v>0</v>
      </c>
      <c r="Q260" s="54">
        <v>48678.51</v>
      </c>
    </row>
    <row r="261" spans="1:17" ht="26.45">
      <c r="A261" s="47">
        <v>2024</v>
      </c>
      <c r="B261" s="50" t="s">
        <v>1411</v>
      </c>
      <c r="C261" s="50" t="s">
        <v>8972</v>
      </c>
      <c r="D261" s="47" t="s">
        <v>829</v>
      </c>
      <c r="E261" s="48" t="s">
        <v>830</v>
      </c>
      <c r="F261" s="53">
        <v>29408.09</v>
      </c>
      <c r="G261" s="53">
        <v>0</v>
      </c>
      <c r="H261" s="53">
        <v>0</v>
      </c>
      <c r="I261" s="53">
        <v>0</v>
      </c>
      <c r="J261" s="53">
        <v>0</v>
      </c>
      <c r="K261" s="53">
        <v>0</v>
      </c>
      <c r="L261" s="53">
        <v>0</v>
      </c>
      <c r="M261" s="43"/>
      <c r="N261" s="53">
        <v>0</v>
      </c>
      <c r="O261" s="53">
        <v>0</v>
      </c>
      <c r="P261" s="53">
        <v>0</v>
      </c>
      <c r="Q261" s="53">
        <v>29408.09</v>
      </c>
    </row>
    <row r="262" spans="1:17" ht="26.45">
      <c r="A262" s="44">
        <v>2024</v>
      </c>
      <c r="B262" s="46" t="s">
        <v>1411</v>
      </c>
      <c r="C262" s="46" t="s">
        <v>8972</v>
      </c>
      <c r="D262" s="44" t="s">
        <v>221</v>
      </c>
      <c r="E262" s="45" t="s">
        <v>831</v>
      </c>
      <c r="F262" s="54">
        <v>58131.8</v>
      </c>
      <c r="G262" s="54">
        <v>1084.97</v>
      </c>
      <c r="H262" s="54">
        <v>0</v>
      </c>
      <c r="I262" s="54">
        <v>0</v>
      </c>
      <c r="J262" s="54">
        <v>0</v>
      </c>
      <c r="K262" s="54">
        <v>0</v>
      </c>
      <c r="L262" s="54">
        <v>0</v>
      </c>
      <c r="M262" s="43"/>
      <c r="N262" s="54">
        <v>0</v>
      </c>
      <c r="O262" s="54">
        <v>0</v>
      </c>
      <c r="P262" s="54">
        <v>0</v>
      </c>
      <c r="Q262" s="54">
        <v>59216.77</v>
      </c>
    </row>
    <row r="263" spans="1:17" ht="26.45">
      <c r="A263" s="47">
        <v>2024</v>
      </c>
      <c r="B263" s="50" t="s">
        <v>1411</v>
      </c>
      <c r="C263" s="50" t="s">
        <v>8972</v>
      </c>
      <c r="D263" s="47" t="s">
        <v>222</v>
      </c>
      <c r="E263" s="48" t="s">
        <v>832</v>
      </c>
      <c r="F263" s="53">
        <v>972605.87</v>
      </c>
      <c r="G263" s="53">
        <v>306781.46999999997</v>
      </c>
      <c r="H263" s="53">
        <v>0</v>
      </c>
      <c r="I263" s="53">
        <v>0</v>
      </c>
      <c r="J263" s="53">
        <v>0</v>
      </c>
      <c r="K263" s="53">
        <v>0</v>
      </c>
      <c r="L263" s="53">
        <v>0</v>
      </c>
      <c r="M263" s="43"/>
      <c r="N263" s="53">
        <v>0</v>
      </c>
      <c r="O263" s="53">
        <v>0</v>
      </c>
      <c r="P263" s="53">
        <v>0</v>
      </c>
      <c r="Q263" s="53">
        <v>1279387.3400000001</v>
      </c>
    </row>
    <row r="264" spans="1:17" ht="26.45">
      <c r="A264" s="44">
        <v>2024</v>
      </c>
      <c r="B264" s="46" t="s">
        <v>1411</v>
      </c>
      <c r="C264" s="46" t="s">
        <v>8972</v>
      </c>
      <c r="D264" s="44" t="s">
        <v>223</v>
      </c>
      <c r="E264" s="45" t="s">
        <v>833</v>
      </c>
      <c r="F264" s="54">
        <v>278315.06</v>
      </c>
      <c r="G264" s="54">
        <v>87621.73</v>
      </c>
      <c r="H264" s="54">
        <v>0</v>
      </c>
      <c r="I264" s="54">
        <v>0</v>
      </c>
      <c r="J264" s="54">
        <v>0</v>
      </c>
      <c r="K264" s="54">
        <v>0</v>
      </c>
      <c r="L264" s="54">
        <v>0</v>
      </c>
      <c r="M264" s="43"/>
      <c r="N264" s="54">
        <v>0</v>
      </c>
      <c r="O264" s="54">
        <v>0</v>
      </c>
      <c r="P264" s="54">
        <v>0</v>
      </c>
      <c r="Q264" s="54">
        <v>365936.79</v>
      </c>
    </row>
    <row r="265" spans="1:17" ht="26.45">
      <c r="A265" s="47">
        <v>2024</v>
      </c>
      <c r="B265" s="50" t="s">
        <v>1411</v>
      </c>
      <c r="C265" s="50" t="s">
        <v>8972</v>
      </c>
      <c r="D265" s="47" t="s">
        <v>224</v>
      </c>
      <c r="E265" s="48" t="s">
        <v>834</v>
      </c>
      <c r="F265" s="53">
        <v>8983.6</v>
      </c>
      <c r="G265" s="53">
        <v>0</v>
      </c>
      <c r="H265" s="53">
        <v>0</v>
      </c>
      <c r="I265" s="53">
        <v>0</v>
      </c>
      <c r="J265" s="53">
        <v>0</v>
      </c>
      <c r="K265" s="53">
        <v>0</v>
      </c>
      <c r="L265" s="53">
        <v>-8983.6</v>
      </c>
      <c r="M265" s="43"/>
      <c r="N265" s="53">
        <v>0</v>
      </c>
      <c r="O265" s="53">
        <v>0</v>
      </c>
      <c r="P265" s="53">
        <v>0</v>
      </c>
      <c r="Q265" s="53">
        <v>0</v>
      </c>
    </row>
    <row r="266" spans="1:17" ht="26.45">
      <c r="A266" s="44">
        <v>2024</v>
      </c>
      <c r="B266" s="46" t="s">
        <v>1411</v>
      </c>
      <c r="C266" s="46" t="s">
        <v>8972</v>
      </c>
      <c r="D266" s="44" t="s">
        <v>835</v>
      </c>
      <c r="E266" s="45" t="s">
        <v>836</v>
      </c>
      <c r="F266" s="54">
        <v>14701.98</v>
      </c>
      <c r="G266" s="54">
        <v>24623.9</v>
      </c>
      <c r="H266" s="54">
        <v>0</v>
      </c>
      <c r="I266" s="54">
        <v>0</v>
      </c>
      <c r="J266" s="54">
        <v>0</v>
      </c>
      <c r="K266" s="54">
        <v>0</v>
      </c>
      <c r="L266" s="54">
        <v>0</v>
      </c>
      <c r="M266" s="43"/>
      <c r="N266" s="54">
        <v>0</v>
      </c>
      <c r="O266" s="54">
        <v>-5859.3</v>
      </c>
      <c r="P266" s="54">
        <v>0</v>
      </c>
      <c r="Q266" s="54">
        <v>33466.58</v>
      </c>
    </row>
    <row r="267" spans="1:17" ht="26.45">
      <c r="A267" s="47">
        <v>2024</v>
      </c>
      <c r="B267" s="50" t="s">
        <v>1411</v>
      </c>
      <c r="C267" s="50" t="s">
        <v>8972</v>
      </c>
      <c r="D267" s="47" t="s">
        <v>225</v>
      </c>
      <c r="E267" s="48" t="s">
        <v>837</v>
      </c>
      <c r="F267" s="53">
        <v>31440.14</v>
      </c>
      <c r="G267" s="53">
        <v>0</v>
      </c>
      <c r="H267" s="53">
        <v>0</v>
      </c>
      <c r="I267" s="53">
        <v>0</v>
      </c>
      <c r="J267" s="53">
        <v>0</v>
      </c>
      <c r="K267" s="53">
        <v>0</v>
      </c>
      <c r="L267" s="53">
        <v>0</v>
      </c>
      <c r="M267" s="43"/>
      <c r="N267" s="53">
        <v>0</v>
      </c>
      <c r="O267" s="53">
        <v>0</v>
      </c>
      <c r="P267" s="53">
        <v>0</v>
      </c>
      <c r="Q267" s="53">
        <v>31440.14</v>
      </c>
    </row>
    <row r="268" spans="1:17" ht="26.45">
      <c r="A268" s="44">
        <v>2024</v>
      </c>
      <c r="B268" s="46" t="s">
        <v>1411</v>
      </c>
      <c r="C268" s="46" t="s">
        <v>8972</v>
      </c>
      <c r="D268" s="44" t="s">
        <v>226</v>
      </c>
      <c r="E268" s="45" t="s">
        <v>838</v>
      </c>
      <c r="F268" s="54">
        <v>114539.04</v>
      </c>
      <c r="G268" s="54">
        <v>27548.6</v>
      </c>
      <c r="H268" s="54">
        <v>0</v>
      </c>
      <c r="I268" s="54">
        <v>0</v>
      </c>
      <c r="J268" s="54">
        <v>0</v>
      </c>
      <c r="K268" s="54">
        <v>0</v>
      </c>
      <c r="L268" s="54">
        <v>0</v>
      </c>
      <c r="M268" s="43"/>
      <c r="N268" s="54">
        <v>0</v>
      </c>
      <c r="O268" s="54">
        <v>0</v>
      </c>
      <c r="P268" s="54">
        <v>0</v>
      </c>
      <c r="Q268" s="54">
        <v>142087.64000000001</v>
      </c>
    </row>
    <row r="269" spans="1:17" ht="26.45">
      <c r="A269" s="47">
        <v>2024</v>
      </c>
      <c r="B269" s="50" t="s">
        <v>1411</v>
      </c>
      <c r="C269" s="50" t="s">
        <v>8972</v>
      </c>
      <c r="D269" s="47" t="s">
        <v>839</v>
      </c>
      <c r="E269" s="48" t="s">
        <v>840</v>
      </c>
      <c r="F269" s="53">
        <v>6371.53</v>
      </c>
      <c r="G269" s="53">
        <v>2825.34</v>
      </c>
      <c r="H269" s="53">
        <v>0</v>
      </c>
      <c r="I269" s="53">
        <v>0</v>
      </c>
      <c r="J269" s="53">
        <v>0</v>
      </c>
      <c r="K269" s="53">
        <v>0</v>
      </c>
      <c r="L269" s="53">
        <v>0</v>
      </c>
      <c r="M269" s="43"/>
      <c r="N269" s="53">
        <v>0</v>
      </c>
      <c r="O269" s="53">
        <v>0</v>
      </c>
      <c r="P269" s="53">
        <v>0</v>
      </c>
      <c r="Q269" s="53">
        <v>9196.8700000000008</v>
      </c>
    </row>
    <row r="270" spans="1:17" ht="26.45">
      <c r="A270" s="44">
        <v>2024</v>
      </c>
      <c r="B270" s="46" t="s">
        <v>1411</v>
      </c>
      <c r="C270" s="46" t="s">
        <v>8972</v>
      </c>
      <c r="D270" s="44" t="s">
        <v>841</v>
      </c>
      <c r="E270" s="45" t="s">
        <v>842</v>
      </c>
      <c r="F270" s="54">
        <v>7476.33</v>
      </c>
      <c r="G270" s="54">
        <v>0</v>
      </c>
      <c r="H270" s="54">
        <v>0</v>
      </c>
      <c r="I270" s="54">
        <v>0</v>
      </c>
      <c r="J270" s="54">
        <v>0</v>
      </c>
      <c r="K270" s="54">
        <v>0</v>
      </c>
      <c r="L270" s="54">
        <v>0</v>
      </c>
      <c r="M270" s="43"/>
      <c r="N270" s="54">
        <v>0</v>
      </c>
      <c r="O270" s="54">
        <v>0</v>
      </c>
      <c r="P270" s="54">
        <v>0</v>
      </c>
      <c r="Q270" s="54">
        <v>7476.33</v>
      </c>
    </row>
    <row r="271" spans="1:17" ht="26.45">
      <c r="A271" s="47">
        <v>2024</v>
      </c>
      <c r="B271" s="50" t="s">
        <v>1411</v>
      </c>
      <c r="C271" s="50" t="s">
        <v>8972</v>
      </c>
      <c r="D271" s="47" t="s">
        <v>227</v>
      </c>
      <c r="E271" s="48" t="s">
        <v>843</v>
      </c>
      <c r="F271" s="53">
        <v>6309855.5099999998</v>
      </c>
      <c r="G271" s="53">
        <v>1556948.47</v>
      </c>
      <c r="H271" s="53">
        <v>0</v>
      </c>
      <c r="I271" s="53">
        <v>0</v>
      </c>
      <c r="J271" s="53">
        <v>0</v>
      </c>
      <c r="K271" s="53">
        <v>0</v>
      </c>
      <c r="L271" s="53">
        <v>0</v>
      </c>
      <c r="M271" s="43"/>
      <c r="N271" s="53">
        <v>0</v>
      </c>
      <c r="O271" s="53">
        <v>0</v>
      </c>
      <c r="P271" s="53">
        <v>0</v>
      </c>
      <c r="Q271" s="53">
        <v>7866803.9800000004</v>
      </c>
    </row>
    <row r="272" spans="1:17" ht="26.45">
      <c r="A272" s="44">
        <v>2024</v>
      </c>
      <c r="B272" s="46" t="s">
        <v>1411</v>
      </c>
      <c r="C272" s="46" t="s">
        <v>8972</v>
      </c>
      <c r="D272" s="44" t="s">
        <v>228</v>
      </c>
      <c r="E272" s="45" t="s">
        <v>844</v>
      </c>
      <c r="F272" s="54">
        <v>39470.51</v>
      </c>
      <c r="G272" s="54">
        <v>2610</v>
      </c>
      <c r="H272" s="54">
        <v>0</v>
      </c>
      <c r="I272" s="54">
        <v>0</v>
      </c>
      <c r="J272" s="54">
        <v>0</v>
      </c>
      <c r="K272" s="54">
        <v>0</v>
      </c>
      <c r="L272" s="54">
        <v>0</v>
      </c>
      <c r="M272" s="43"/>
      <c r="N272" s="54">
        <v>0</v>
      </c>
      <c r="O272" s="54">
        <v>0</v>
      </c>
      <c r="P272" s="54">
        <v>0</v>
      </c>
      <c r="Q272" s="54">
        <v>42080.51</v>
      </c>
    </row>
    <row r="273" spans="1:17" ht="26.45">
      <c r="A273" s="47">
        <v>2024</v>
      </c>
      <c r="B273" s="50" t="s">
        <v>1411</v>
      </c>
      <c r="C273" s="50" t="s">
        <v>8972</v>
      </c>
      <c r="D273" s="47" t="s">
        <v>229</v>
      </c>
      <c r="E273" s="48" t="s">
        <v>845</v>
      </c>
      <c r="F273" s="53">
        <v>2298356.7599999998</v>
      </c>
      <c r="G273" s="53">
        <v>1750148.63</v>
      </c>
      <c r="H273" s="53">
        <v>0</v>
      </c>
      <c r="I273" s="53">
        <v>0</v>
      </c>
      <c r="J273" s="53">
        <v>0</v>
      </c>
      <c r="K273" s="53">
        <v>0</v>
      </c>
      <c r="L273" s="53">
        <v>0</v>
      </c>
      <c r="M273" s="43"/>
      <c r="N273" s="53">
        <v>0</v>
      </c>
      <c r="O273" s="53">
        <v>0</v>
      </c>
      <c r="P273" s="53">
        <v>0</v>
      </c>
      <c r="Q273" s="53">
        <v>4048505.39</v>
      </c>
    </row>
    <row r="274" spans="1:17" ht="26.45">
      <c r="A274" s="44">
        <v>2024</v>
      </c>
      <c r="B274" s="46" t="s">
        <v>1411</v>
      </c>
      <c r="C274" s="46" t="s">
        <v>8972</v>
      </c>
      <c r="D274" s="44" t="s">
        <v>846</v>
      </c>
      <c r="E274" s="45" t="s">
        <v>847</v>
      </c>
      <c r="F274" s="54">
        <v>79606.429999999993</v>
      </c>
      <c r="G274" s="54">
        <v>418.27</v>
      </c>
      <c r="H274" s="54">
        <v>0</v>
      </c>
      <c r="I274" s="54">
        <v>0</v>
      </c>
      <c r="J274" s="54">
        <v>0</v>
      </c>
      <c r="K274" s="54">
        <v>0</v>
      </c>
      <c r="L274" s="54">
        <v>0</v>
      </c>
      <c r="M274" s="43"/>
      <c r="N274" s="54">
        <v>0</v>
      </c>
      <c r="O274" s="54">
        <v>0</v>
      </c>
      <c r="P274" s="54">
        <v>0</v>
      </c>
      <c r="Q274" s="54">
        <v>80024.7</v>
      </c>
    </row>
    <row r="275" spans="1:17" ht="26.45">
      <c r="A275" s="47">
        <v>2024</v>
      </c>
      <c r="B275" s="50" t="s">
        <v>1411</v>
      </c>
      <c r="C275" s="50" t="s">
        <v>8972</v>
      </c>
      <c r="D275" s="47" t="s">
        <v>230</v>
      </c>
      <c r="E275" s="48" t="s">
        <v>848</v>
      </c>
      <c r="F275" s="53">
        <v>3305841.3</v>
      </c>
      <c r="G275" s="53">
        <v>755028.99</v>
      </c>
      <c r="H275" s="53">
        <v>0</v>
      </c>
      <c r="I275" s="53">
        <v>0</v>
      </c>
      <c r="J275" s="53">
        <v>0</v>
      </c>
      <c r="K275" s="53">
        <v>0</v>
      </c>
      <c r="L275" s="53">
        <v>0</v>
      </c>
      <c r="M275" s="43"/>
      <c r="N275" s="53">
        <v>0</v>
      </c>
      <c r="O275" s="53">
        <v>0</v>
      </c>
      <c r="P275" s="53">
        <v>0</v>
      </c>
      <c r="Q275" s="53">
        <v>4060870.29</v>
      </c>
    </row>
    <row r="276" spans="1:17" ht="26.45">
      <c r="A276" s="44">
        <v>2024</v>
      </c>
      <c r="B276" s="46" t="s">
        <v>1411</v>
      </c>
      <c r="C276" s="46" t="s">
        <v>8972</v>
      </c>
      <c r="D276" s="44" t="s">
        <v>231</v>
      </c>
      <c r="E276" s="45" t="s">
        <v>849</v>
      </c>
      <c r="F276" s="54">
        <v>404363.03</v>
      </c>
      <c r="G276" s="54">
        <v>75414.36</v>
      </c>
      <c r="H276" s="54">
        <v>0</v>
      </c>
      <c r="I276" s="54">
        <v>0</v>
      </c>
      <c r="J276" s="54">
        <v>0</v>
      </c>
      <c r="K276" s="54">
        <v>0</v>
      </c>
      <c r="L276" s="54">
        <v>0</v>
      </c>
      <c r="M276" s="43"/>
      <c r="N276" s="54">
        <v>0</v>
      </c>
      <c r="O276" s="54">
        <v>0</v>
      </c>
      <c r="P276" s="54">
        <v>0</v>
      </c>
      <c r="Q276" s="54">
        <v>479777.39</v>
      </c>
    </row>
    <row r="277" spans="1:17" ht="26.45">
      <c r="A277" s="47">
        <v>2024</v>
      </c>
      <c r="B277" s="50" t="s">
        <v>1411</v>
      </c>
      <c r="C277" s="50" t="s">
        <v>8972</v>
      </c>
      <c r="D277" s="47" t="s">
        <v>850</v>
      </c>
      <c r="E277" s="48" t="s">
        <v>851</v>
      </c>
      <c r="F277" s="53">
        <v>985.32</v>
      </c>
      <c r="G277" s="53">
        <v>0</v>
      </c>
      <c r="H277" s="53">
        <v>0</v>
      </c>
      <c r="I277" s="53">
        <v>0</v>
      </c>
      <c r="J277" s="53">
        <v>0</v>
      </c>
      <c r="K277" s="53">
        <v>0</v>
      </c>
      <c r="L277" s="53">
        <v>-985.32</v>
      </c>
      <c r="M277" s="43"/>
      <c r="N277" s="53">
        <v>0</v>
      </c>
      <c r="O277" s="53">
        <v>0</v>
      </c>
      <c r="P277" s="53">
        <v>0</v>
      </c>
      <c r="Q277" s="53">
        <v>0</v>
      </c>
    </row>
    <row r="278" spans="1:17" ht="26.45">
      <c r="A278" s="44">
        <v>2024</v>
      </c>
      <c r="B278" s="46" t="s">
        <v>1411</v>
      </c>
      <c r="C278" s="46" t="s">
        <v>8972</v>
      </c>
      <c r="D278" s="44" t="s">
        <v>232</v>
      </c>
      <c r="E278" s="45" t="s">
        <v>852</v>
      </c>
      <c r="F278" s="54">
        <v>57500.73</v>
      </c>
      <c r="G278" s="54">
        <v>77.86</v>
      </c>
      <c r="H278" s="54">
        <v>0</v>
      </c>
      <c r="I278" s="54">
        <v>0</v>
      </c>
      <c r="J278" s="54">
        <v>0</v>
      </c>
      <c r="K278" s="54">
        <v>0</v>
      </c>
      <c r="L278" s="54">
        <v>0</v>
      </c>
      <c r="M278" s="43"/>
      <c r="N278" s="54">
        <v>0</v>
      </c>
      <c r="O278" s="54">
        <v>0</v>
      </c>
      <c r="P278" s="54">
        <v>0</v>
      </c>
      <c r="Q278" s="54">
        <v>57578.59</v>
      </c>
    </row>
    <row r="279" spans="1:17" ht="26.45">
      <c r="A279" s="47">
        <v>2024</v>
      </c>
      <c r="B279" s="50" t="s">
        <v>1411</v>
      </c>
      <c r="C279" s="50" t="s">
        <v>8972</v>
      </c>
      <c r="D279" s="47" t="s">
        <v>233</v>
      </c>
      <c r="E279" s="48" t="s">
        <v>853</v>
      </c>
      <c r="F279" s="53">
        <v>37819.1</v>
      </c>
      <c r="G279" s="53">
        <v>7501.06</v>
      </c>
      <c r="H279" s="53">
        <v>0</v>
      </c>
      <c r="I279" s="53">
        <v>0</v>
      </c>
      <c r="J279" s="53">
        <v>0</v>
      </c>
      <c r="K279" s="53">
        <v>0</v>
      </c>
      <c r="L279" s="53">
        <v>0</v>
      </c>
      <c r="M279" s="43"/>
      <c r="N279" s="53">
        <v>0</v>
      </c>
      <c r="O279" s="53">
        <v>0</v>
      </c>
      <c r="P279" s="53">
        <v>0</v>
      </c>
      <c r="Q279" s="53">
        <v>45320.160000000003</v>
      </c>
    </row>
    <row r="280" spans="1:17" ht="26.45">
      <c r="A280" s="44">
        <v>2024</v>
      </c>
      <c r="B280" s="46" t="s">
        <v>1411</v>
      </c>
      <c r="C280" s="46" t="s">
        <v>8972</v>
      </c>
      <c r="D280" s="44" t="s">
        <v>234</v>
      </c>
      <c r="E280" s="45" t="s">
        <v>854</v>
      </c>
      <c r="F280" s="54">
        <v>25427.99</v>
      </c>
      <c r="G280" s="54">
        <v>0</v>
      </c>
      <c r="H280" s="54">
        <v>0</v>
      </c>
      <c r="I280" s="54">
        <v>0</v>
      </c>
      <c r="J280" s="54">
        <v>0</v>
      </c>
      <c r="K280" s="54">
        <v>0</v>
      </c>
      <c r="L280" s="54">
        <v>0</v>
      </c>
      <c r="M280" s="43"/>
      <c r="N280" s="54">
        <v>0</v>
      </c>
      <c r="O280" s="54">
        <v>0</v>
      </c>
      <c r="P280" s="54">
        <v>0</v>
      </c>
      <c r="Q280" s="54">
        <v>25427.99</v>
      </c>
    </row>
    <row r="281" spans="1:17" ht="26.45">
      <c r="A281" s="47">
        <v>2024</v>
      </c>
      <c r="B281" s="50" t="s">
        <v>1411</v>
      </c>
      <c r="C281" s="50" t="s">
        <v>8972</v>
      </c>
      <c r="D281" s="47" t="s">
        <v>855</v>
      </c>
      <c r="E281" s="48" t="s">
        <v>856</v>
      </c>
      <c r="F281" s="53">
        <v>21764.880000000001</v>
      </c>
      <c r="G281" s="53">
        <v>0</v>
      </c>
      <c r="H281" s="53">
        <v>0</v>
      </c>
      <c r="I281" s="53">
        <v>0</v>
      </c>
      <c r="J281" s="53">
        <v>0</v>
      </c>
      <c r="K281" s="53">
        <v>0</v>
      </c>
      <c r="L281" s="53">
        <v>0</v>
      </c>
      <c r="M281" s="43"/>
      <c r="N281" s="53">
        <v>0</v>
      </c>
      <c r="O281" s="53">
        <v>0</v>
      </c>
      <c r="P281" s="53">
        <v>0</v>
      </c>
      <c r="Q281" s="53">
        <v>21764.880000000001</v>
      </c>
    </row>
    <row r="282" spans="1:17" ht="26.45">
      <c r="A282" s="44">
        <v>2024</v>
      </c>
      <c r="B282" s="46" t="s">
        <v>1411</v>
      </c>
      <c r="C282" s="46" t="s">
        <v>8972</v>
      </c>
      <c r="D282" s="44" t="s">
        <v>235</v>
      </c>
      <c r="E282" s="45" t="s">
        <v>857</v>
      </c>
      <c r="F282" s="54">
        <v>14628.58</v>
      </c>
      <c r="G282" s="54">
        <v>730.05</v>
      </c>
      <c r="H282" s="54">
        <v>0</v>
      </c>
      <c r="I282" s="54">
        <v>0</v>
      </c>
      <c r="J282" s="54">
        <v>0</v>
      </c>
      <c r="K282" s="54">
        <v>0</v>
      </c>
      <c r="L282" s="54">
        <v>0</v>
      </c>
      <c r="M282" s="43"/>
      <c r="N282" s="54">
        <v>0</v>
      </c>
      <c r="O282" s="54">
        <v>0</v>
      </c>
      <c r="P282" s="54">
        <v>0</v>
      </c>
      <c r="Q282" s="54">
        <v>15358.63</v>
      </c>
    </row>
    <row r="283" spans="1:17" ht="26.45">
      <c r="A283" s="47">
        <v>2024</v>
      </c>
      <c r="B283" s="50" t="s">
        <v>1411</v>
      </c>
      <c r="C283" s="50" t="s">
        <v>8972</v>
      </c>
      <c r="D283" s="47" t="s">
        <v>236</v>
      </c>
      <c r="E283" s="48" t="s">
        <v>858</v>
      </c>
      <c r="F283" s="53">
        <v>67373.850000000006</v>
      </c>
      <c r="G283" s="53">
        <v>0</v>
      </c>
      <c r="H283" s="53">
        <v>0</v>
      </c>
      <c r="I283" s="53">
        <v>0</v>
      </c>
      <c r="J283" s="53">
        <v>0</v>
      </c>
      <c r="K283" s="53">
        <v>0</v>
      </c>
      <c r="L283" s="53">
        <v>0</v>
      </c>
      <c r="M283" s="43"/>
      <c r="N283" s="53">
        <v>0</v>
      </c>
      <c r="O283" s="53">
        <v>0</v>
      </c>
      <c r="P283" s="53">
        <v>0</v>
      </c>
      <c r="Q283" s="53">
        <v>67373.850000000006</v>
      </c>
    </row>
    <row r="284" spans="1:17" ht="26.45">
      <c r="A284" s="44">
        <v>2024</v>
      </c>
      <c r="B284" s="46" t="s">
        <v>1411</v>
      </c>
      <c r="C284" s="46" t="s">
        <v>8972</v>
      </c>
      <c r="D284" s="44" t="s">
        <v>237</v>
      </c>
      <c r="E284" s="45" t="s">
        <v>859</v>
      </c>
      <c r="F284" s="54">
        <v>92385.56</v>
      </c>
      <c r="G284" s="54">
        <v>0</v>
      </c>
      <c r="H284" s="54">
        <v>0</v>
      </c>
      <c r="I284" s="54">
        <v>0</v>
      </c>
      <c r="J284" s="54">
        <v>0</v>
      </c>
      <c r="K284" s="54">
        <v>0</v>
      </c>
      <c r="L284" s="54">
        <v>0</v>
      </c>
      <c r="M284" s="43"/>
      <c r="N284" s="54">
        <v>0</v>
      </c>
      <c r="O284" s="54">
        <v>0</v>
      </c>
      <c r="P284" s="54">
        <v>0</v>
      </c>
      <c r="Q284" s="54">
        <v>92385.56</v>
      </c>
    </row>
    <row r="285" spans="1:17" ht="52.9">
      <c r="A285" s="47">
        <v>2024</v>
      </c>
      <c r="B285" s="50" t="s">
        <v>1411</v>
      </c>
      <c r="C285" s="50" t="s">
        <v>8972</v>
      </c>
      <c r="D285" s="47" t="s">
        <v>238</v>
      </c>
      <c r="E285" s="48" t="s">
        <v>860</v>
      </c>
      <c r="F285" s="53">
        <v>283292</v>
      </c>
      <c r="G285" s="53">
        <v>0</v>
      </c>
      <c r="H285" s="53">
        <v>0</v>
      </c>
      <c r="I285" s="53">
        <v>0</v>
      </c>
      <c r="J285" s="53">
        <v>0</v>
      </c>
      <c r="K285" s="53">
        <v>0</v>
      </c>
      <c r="L285" s="53">
        <v>0</v>
      </c>
      <c r="M285" s="43"/>
      <c r="N285" s="53">
        <v>0</v>
      </c>
      <c r="O285" s="53">
        <v>0</v>
      </c>
      <c r="P285" s="53">
        <v>0</v>
      </c>
      <c r="Q285" s="53">
        <v>283292</v>
      </c>
    </row>
    <row r="286" spans="1:17" ht="26.45">
      <c r="A286" s="44">
        <v>2024</v>
      </c>
      <c r="B286" s="46" t="s">
        <v>1411</v>
      </c>
      <c r="C286" s="46" t="s">
        <v>8972</v>
      </c>
      <c r="D286" s="44" t="s">
        <v>239</v>
      </c>
      <c r="E286" s="45" t="s">
        <v>861</v>
      </c>
      <c r="F286" s="54">
        <v>11376.46</v>
      </c>
      <c r="G286" s="54">
        <v>0</v>
      </c>
      <c r="H286" s="54">
        <v>0</v>
      </c>
      <c r="I286" s="54">
        <v>0</v>
      </c>
      <c r="J286" s="54">
        <v>0</v>
      </c>
      <c r="K286" s="54">
        <v>0</v>
      </c>
      <c r="L286" s="54">
        <v>0</v>
      </c>
      <c r="M286" s="43"/>
      <c r="N286" s="54">
        <v>0</v>
      </c>
      <c r="O286" s="54">
        <v>0</v>
      </c>
      <c r="P286" s="54">
        <v>0</v>
      </c>
      <c r="Q286" s="54">
        <v>11376.46</v>
      </c>
    </row>
    <row r="287" spans="1:17" ht="26.45">
      <c r="A287" s="47">
        <v>2024</v>
      </c>
      <c r="B287" s="50" t="s">
        <v>1411</v>
      </c>
      <c r="C287" s="50" t="s">
        <v>8972</v>
      </c>
      <c r="D287" s="47" t="s">
        <v>240</v>
      </c>
      <c r="E287" s="48" t="s">
        <v>862</v>
      </c>
      <c r="F287" s="53">
        <v>72143.58</v>
      </c>
      <c r="G287" s="53">
        <v>2273</v>
      </c>
      <c r="H287" s="53">
        <v>0</v>
      </c>
      <c r="I287" s="53">
        <v>0</v>
      </c>
      <c r="J287" s="53">
        <v>0</v>
      </c>
      <c r="K287" s="53">
        <v>0</v>
      </c>
      <c r="L287" s="53">
        <v>0</v>
      </c>
      <c r="M287" s="43"/>
      <c r="N287" s="53">
        <v>0</v>
      </c>
      <c r="O287" s="53">
        <v>0</v>
      </c>
      <c r="P287" s="53">
        <v>0</v>
      </c>
      <c r="Q287" s="53">
        <v>74416.58</v>
      </c>
    </row>
    <row r="288" spans="1:17" ht="26.45">
      <c r="A288" s="44">
        <v>2024</v>
      </c>
      <c r="B288" s="46" t="s">
        <v>1411</v>
      </c>
      <c r="C288" s="46" t="s">
        <v>8972</v>
      </c>
      <c r="D288" s="44" t="s">
        <v>241</v>
      </c>
      <c r="E288" s="45" t="s">
        <v>863</v>
      </c>
      <c r="F288" s="54">
        <v>23804.48</v>
      </c>
      <c r="G288" s="54">
        <v>0</v>
      </c>
      <c r="H288" s="54">
        <v>0</v>
      </c>
      <c r="I288" s="54">
        <v>0</v>
      </c>
      <c r="J288" s="54">
        <v>0</v>
      </c>
      <c r="K288" s="54">
        <v>0</v>
      </c>
      <c r="L288" s="54">
        <v>0</v>
      </c>
      <c r="M288" s="43"/>
      <c r="N288" s="54">
        <v>0</v>
      </c>
      <c r="O288" s="54">
        <v>0</v>
      </c>
      <c r="P288" s="54">
        <v>0</v>
      </c>
      <c r="Q288" s="54">
        <v>23804.48</v>
      </c>
    </row>
    <row r="289" spans="1:17" ht="26.45">
      <c r="A289" s="47">
        <v>2024</v>
      </c>
      <c r="B289" s="50" t="s">
        <v>1411</v>
      </c>
      <c r="C289" s="50" t="s">
        <v>8972</v>
      </c>
      <c r="D289" s="47" t="s">
        <v>242</v>
      </c>
      <c r="E289" s="48" t="s">
        <v>864</v>
      </c>
      <c r="F289" s="53">
        <v>112550.84</v>
      </c>
      <c r="G289" s="53">
        <v>22689.93</v>
      </c>
      <c r="H289" s="53">
        <v>0</v>
      </c>
      <c r="I289" s="53">
        <v>0</v>
      </c>
      <c r="J289" s="53">
        <v>0</v>
      </c>
      <c r="K289" s="53">
        <v>0</v>
      </c>
      <c r="L289" s="53">
        <v>0</v>
      </c>
      <c r="M289" s="43"/>
      <c r="N289" s="53">
        <v>0</v>
      </c>
      <c r="O289" s="53">
        <v>0</v>
      </c>
      <c r="P289" s="53">
        <v>0</v>
      </c>
      <c r="Q289" s="53">
        <v>135240.76999999999</v>
      </c>
    </row>
    <row r="290" spans="1:17" ht="26.45">
      <c r="A290" s="44">
        <v>2024</v>
      </c>
      <c r="B290" s="46" t="s">
        <v>1411</v>
      </c>
      <c r="C290" s="46" t="s">
        <v>8972</v>
      </c>
      <c r="D290" s="44" t="s">
        <v>243</v>
      </c>
      <c r="E290" s="45" t="s">
        <v>865</v>
      </c>
      <c r="F290" s="54">
        <v>175587.82</v>
      </c>
      <c r="G290" s="54">
        <v>0</v>
      </c>
      <c r="H290" s="54">
        <v>0</v>
      </c>
      <c r="I290" s="54">
        <v>0</v>
      </c>
      <c r="J290" s="54">
        <v>0</v>
      </c>
      <c r="K290" s="54">
        <v>0</v>
      </c>
      <c r="L290" s="54">
        <v>0</v>
      </c>
      <c r="M290" s="43"/>
      <c r="N290" s="54">
        <v>0</v>
      </c>
      <c r="O290" s="54">
        <v>0</v>
      </c>
      <c r="P290" s="54">
        <v>0</v>
      </c>
      <c r="Q290" s="54">
        <v>175587.82</v>
      </c>
    </row>
    <row r="291" spans="1:17" ht="26.45">
      <c r="A291" s="47">
        <v>2024</v>
      </c>
      <c r="B291" s="50" t="s">
        <v>1411</v>
      </c>
      <c r="C291" s="50" t="s">
        <v>8972</v>
      </c>
      <c r="D291" s="47" t="s">
        <v>866</v>
      </c>
      <c r="E291" s="48" t="s">
        <v>867</v>
      </c>
      <c r="F291" s="53">
        <v>87064.16</v>
      </c>
      <c r="G291" s="53">
        <v>0</v>
      </c>
      <c r="H291" s="53">
        <v>0</v>
      </c>
      <c r="I291" s="53">
        <v>0</v>
      </c>
      <c r="J291" s="53">
        <v>0</v>
      </c>
      <c r="K291" s="53">
        <v>0</v>
      </c>
      <c r="L291" s="53">
        <v>0</v>
      </c>
      <c r="M291" s="43"/>
      <c r="N291" s="53">
        <v>0</v>
      </c>
      <c r="O291" s="53">
        <v>0</v>
      </c>
      <c r="P291" s="53">
        <v>0</v>
      </c>
      <c r="Q291" s="53">
        <v>87064.16</v>
      </c>
    </row>
    <row r="292" spans="1:17" ht="26.45">
      <c r="A292" s="44">
        <v>2024</v>
      </c>
      <c r="B292" s="46" t="s">
        <v>1411</v>
      </c>
      <c r="C292" s="46" t="s">
        <v>8972</v>
      </c>
      <c r="D292" s="44" t="s">
        <v>868</v>
      </c>
      <c r="E292" s="45" t="s">
        <v>869</v>
      </c>
      <c r="F292" s="54">
        <v>215812.59</v>
      </c>
      <c r="G292" s="54">
        <v>0</v>
      </c>
      <c r="H292" s="54">
        <v>0</v>
      </c>
      <c r="I292" s="54">
        <v>0</v>
      </c>
      <c r="J292" s="54">
        <v>0</v>
      </c>
      <c r="K292" s="54">
        <v>0</v>
      </c>
      <c r="L292" s="54">
        <v>0</v>
      </c>
      <c r="M292" s="43"/>
      <c r="N292" s="54">
        <v>0</v>
      </c>
      <c r="O292" s="54">
        <v>0</v>
      </c>
      <c r="P292" s="54">
        <v>0</v>
      </c>
      <c r="Q292" s="54">
        <v>215812.59</v>
      </c>
    </row>
    <row r="293" spans="1:17" ht="26.45">
      <c r="A293" s="47">
        <v>2024</v>
      </c>
      <c r="B293" s="50" t="s">
        <v>1411</v>
      </c>
      <c r="C293" s="50" t="s">
        <v>8972</v>
      </c>
      <c r="D293" s="47" t="s">
        <v>244</v>
      </c>
      <c r="E293" s="48" t="s">
        <v>870</v>
      </c>
      <c r="F293" s="53">
        <v>145489.66</v>
      </c>
      <c r="G293" s="53">
        <v>0</v>
      </c>
      <c r="H293" s="53">
        <v>0</v>
      </c>
      <c r="I293" s="53">
        <v>0</v>
      </c>
      <c r="J293" s="53">
        <v>0</v>
      </c>
      <c r="K293" s="53">
        <v>0</v>
      </c>
      <c r="L293" s="53">
        <v>0</v>
      </c>
      <c r="M293" s="43"/>
      <c r="N293" s="53">
        <v>0</v>
      </c>
      <c r="O293" s="53">
        <v>0</v>
      </c>
      <c r="P293" s="53">
        <v>0</v>
      </c>
      <c r="Q293" s="53">
        <v>145489.66</v>
      </c>
    </row>
    <row r="294" spans="1:17" ht="26.45">
      <c r="A294" s="44">
        <v>2024</v>
      </c>
      <c r="B294" s="46" t="s">
        <v>1411</v>
      </c>
      <c r="C294" s="46" t="s">
        <v>8972</v>
      </c>
      <c r="D294" s="44" t="s">
        <v>245</v>
      </c>
      <c r="E294" s="45" t="s">
        <v>871</v>
      </c>
      <c r="F294" s="54">
        <v>36284.57</v>
      </c>
      <c r="G294" s="54">
        <v>0</v>
      </c>
      <c r="H294" s="54">
        <v>0</v>
      </c>
      <c r="I294" s="54">
        <v>0</v>
      </c>
      <c r="J294" s="54">
        <v>0</v>
      </c>
      <c r="K294" s="54">
        <v>0</v>
      </c>
      <c r="L294" s="54">
        <v>0</v>
      </c>
      <c r="M294" s="43"/>
      <c r="N294" s="54">
        <v>0</v>
      </c>
      <c r="O294" s="54">
        <v>0</v>
      </c>
      <c r="P294" s="54">
        <v>0</v>
      </c>
      <c r="Q294" s="54">
        <v>36284.57</v>
      </c>
    </row>
    <row r="295" spans="1:17" ht="26.45">
      <c r="A295" s="47">
        <v>2024</v>
      </c>
      <c r="B295" s="50" t="s">
        <v>1411</v>
      </c>
      <c r="C295" s="50" t="s">
        <v>8972</v>
      </c>
      <c r="D295" s="47" t="s">
        <v>246</v>
      </c>
      <c r="E295" s="48" t="s">
        <v>872</v>
      </c>
      <c r="F295" s="53">
        <v>7235.48</v>
      </c>
      <c r="G295" s="53">
        <v>7227.58</v>
      </c>
      <c r="H295" s="53">
        <v>0</v>
      </c>
      <c r="I295" s="53">
        <v>0</v>
      </c>
      <c r="J295" s="53">
        <v>0</v>
      </c>
      <c r="K295" s="53">
        <v>0</v>
      </c>
      <c r="L295" s="53">
        <v>0</v>
      </c>
      <c r="M295" s="43"/>
      <c r="N295" s="53">
        <v>0</v>
      </c>
      <c r="O295" s="53">
        <v>0</v>
      </c>
      <c r="P295" s="53">
        <v>0</v>
      </c>
      <c r="Q295" s="53">
        <v>14463.06</v>
      </c>
    </row>
    <row r="296" spans="1:17" ht="26.45">
      <c r="A296" s="44">
        <v>2024</v>
      </c>
      <c r="B296" s="46" t="s">
        <v>1411</v>
      </c>
      <c r="C296" s="46" t="s">
        <v>8972</v>
      </c>
      <c r="D296" s="44" t="s">
        <v>873</v>
      </c>
      <c r="E296" s="45" t="s">
        <v>874</v>
      </c>
      <c r="F296" s="54">
        <v>83370.740000000005</v>
      </c>
      <c r="G296" s="54">
        <v>13000</v>
      </c>
      <c r="H296" s="54">
        <v>0</v>
      </c>
      <c r="I296" s="54">
        <v>0</v>
      </c>
      <c r="J296" s="54">
        <v>0</v>
      </c>
      <c r="K296" s="54">
        <v>0</v>
      </c>
      <c r="L296" s="54">
        <v>0</v>
      </c>
      <c r="M296" s="43"/>
      <c r="N296" s="54">
        <v>0</v>
      </c>
      <c r="O296" s="54">
        <v>0</v>
      </c>
      <c r="P296" s="54">
        <v>0</v>
      </c>
      <c r="Q296" s="54">
        <v>96370.74</v>
      </c>
    </row>
    <row r="297" spans="1:17" ht="26.45">
      <c r="A297" s="47">
        <v>2024</v>
      </c>
      <c r="B297" s="50" t="s">
        <v>1411</v>
      </c>
      <c r="C297" s="50" t="s">
        <v>8972</v>
      </c>
      <c r="D297" s="47" t="s">
        <v>247</v>
      </c>
      <c r="E297" s="48" t="s">
        <v>875</v>
      </c>
      <c r="F297" s="53">
        <v>2226483.34</v>
      </c>
      <c r="G297" s="53">
        <v>257093.7</v>
      </c>
      <c r="H297" s="53">
        <v>0</v>
      </c>
      <c r="I297" s="53">
        <v>0</v>
      </c>
      <c r="J297" s="53">
        <v>0</v>
      </c>
      <c r="K297" s="53">
        <v>0</v>
      </c>
      <c r="L297" s="53">
        <v>0</v>
      </c>
      <c r="M297" s="43"/>
      <c r="N297" s="53">
        <v>0</v>
      </c>
      <c r="O297" s="53">
        <v>0</v>
      </c>
      <c r="P297" s="53">
        <v>0</v>
      </c>
      <c r="Q297" s="53">
        <v>2483577.04</v>
      </c>
    </row>
    <row r="298" spans="1:17" ht="26.45">
      <c r="A298" s="44">
        <v>2024</v>
      </c>
      <c r="B298" s="46" t="s">
        <v>1411</v>
      </c>
      <c r="C298" s="46" t="s">
        <v>8972</v>
      </c>
      <c r="D298" s="44" t="s">
        <v>248</v>
      </c>
      <c r="E298" s="45" t="s">
        <v>876</v>
      </c>
      <c r="F298" s="54">
        <v>3120.79</v>
      </c>
      <c r="G298" s="54">
        <v>0</v>
      </c>
      <c r="H298" s="54">
        <v>0</v>
      </c>
      <c r="I298" s="54">
        <v>0</v>
      </c>
      <c r="J298" s="54">
        <v>0</v>
      </c>
      <c r="K298" s="54">
        <v>0</v>
      </c>
      <c r="L298" s="54">
        <v>-3120.79</v>
      </c>
      <c r="M298" s="43"/>
      <c r="N298" s="54">
        <v>0</v>
      </c>
      <c r="O298" s="54">
        <v>0</v>
      </c>
      <c r="P298" s="54">
        <v>0</v>
      </c>
      <c r="Q298" s="54">
        <v>0</v>
      </c>
    </row>
    <row r="299" spans="1:17" ht="26.45">
      <c r="A299" s="47">
        <v>2024</v>
      </c>
      <c r="B299" s="50" t="s">
        <v>1411</v>
      </c>
      <c r="C299" s="50" t="s">
        <v>8972</v>
      </c>
      <c r="D299" s="47" t="s">
        <v>249</v>
      </c>
      <c r="E299" s="48" t="s">
        <v>877</v>
      </c>
      <c r="F299" s="53">
        <v>32335.06</v>
      </c>
      <c r="G299" s="53">
        <v>0</v>
      </c>
      <c r="H299" s="53">
        <v>0</v>
      </c>
      <c r="I299" s="53">
        <v>0</v>
      </c>
      <c r="J299" s="53">
        <v>0</v>
      </c>
      <c r="K299" s="53">
        <v>0</v>
      </c>
      <c r="L299" s="53">
        <v>0</v>
      </c>
      <c r="M299" s="43"/>
      <c r="N299" s="53">
        <v>0</v>
      </c>
      <c r="O299" s="53">
        <v>0</v>
      </c>
      <c r="P299" s="53">
        <v>0</v>
      </c>
      <c r="Q299" s="53">
        <v>32335.06</v>
      </c>
    </row>
    <row r="300" spans="1:17" ht="26.45">
      <c r="A300" s="44">
        <v>2024</v>
      </c>
      <c r="B300" s="46" t="s">
        <v>1411</v>
      </c>
      <c r="C300" s="46" t="s">
        <v>8972</v>
      </c>
      <c r="D300" s="44" t="s">
        <v>250</v>
      </c>
      <c r="E300" s="45" t="s">
        <v>878</v>
      </c>
      <c r="F300" s="54">
        <v>421782.67</v>
      </c>
      <c r="G300" s="54">
        <v>0</v>
      </c>
      <c r="H300" s="54">
        <v>0</v>
      </c>
      <c r="I300" s="54">
        <v>0</v>
      </c>
      <c r="J300" s="54">
        <v>0</v>
      </c>
      <c r="K300" s="54">
        <v>0</v>
      </c>
      <c r="L300" s="54">
        <v>0</v>
      </c>
      <c r="M300" s="43"/>
      <c r="N300" s="54">
        <v>0</v>
      </c>
      <c r="O300" s="54">
        <v>0</v>
      </c>
      <c r="P300" s="54">
        <v>0</v>
      </c>
      <c r="Q300" s="54">
        <v>421782.67</v>
      </c>
    </row>
    <row r="301" spans="1:17" ht="26.45">
      <c r="A301" s="47">
        <v>2024</v>
      </c>
      <c r="B301" s="50" t="s">
        <v>1411</v>
      </c>
      <c r="C301" s="50" t="s">
        <v>8972</v>
      </c>
      <c r="D301" s="47" t="s">
        <v>251</v>
      </c>
      <c r="E301" s="48" t="s">
        <v>880</v>
      </c>
      <c r="F301" s="53">
        <v>131684.94</v>
      </c>
      <c r="G301" s="53">
        <v>107873.85</v>
      </c>
      <c r="H301" s="53">
        <v>0</v>
      </c>
      <c r="I301" s="53">
        <v>0</v>
      </c>
      <c r="J301" s="53">
        <v>0</v>
      </c>
      <c r="K301" s="53">
        <v>0</v>
      </c>
      <c r="L301" s="53">
        <v>0</v>
      </c>
      <c r="M301" s="43"/>
      <c r="N301" s="53">
        <v>0</v>
      </c>
      <c r="O301" s="53">
        <v>0</v>
      </c>
      <c r="P301" s="53">
        <v>0</v>
      </c>
      <c r="Q301" s="53">
        <v>239558.79</v>
      </c>
    </row>
    <row r="302" spans="1:17" ht="26.45">
      <c r="A302" s="44">
        <v>2024</v>
      </c>
      <c r="B302" s="46" t="s">
        <v>1411</v>
      </c>
      <c r="C302" s="46" t="s">
        <v>8972</v>
      </c>
      <c r="D302" s="44" t="s">
        <v>879</v>
      </c>
      <c r="E302" s="45" t="s">
        <v>880</v>
      </c>
      <c r="F302" s="54">
        <v>118424.68</v>
      </c>
      <c r="G302" s="54">
        <v>24164.32</v>
      </c>
      <c r="H302" s="54">
        <v>0</v>
      </c>
      <c r="I302" s="54">
        <v>0</v>
      </c>
      <c r="J302" s="54">
        <v>0</v>
      </c>
      <c r="K302" s="54">
        <v>0</v>
      </c>
      <c r="L302" s="54">
        <v>0</v>
      </c>
      <c r="M302" s="43"/>
      <c r="N302" s="54">
        <v>0</v>
      </c>
      <c r="O302" s="54">
        <v>0</v>
      </c>
      <c r="P302" s="54">
        <v>0</v>
      </c>
      <c r="Q302" s="54">
        <v>142589</v>
      </c>
    </row>
    <row r="303" spans="1:17" ht="26.45">
      <c r="A303" s="47">
        <v>2024</v>
      </c>
      <c r="B303" s="50" t="s">
        <v>1411</v>
      </c>
      <c r="C303" s="50" t="s">
        <v>8972</v>
      </c>
      <c r="D303" s="47" t="s">
        <v>252</v>
      </c>
      <c r="E303" s="48" t="s">
        <v>881</v>
      </c>
      <c r="F303" s="53">
        <v>1274359.8899999999</v>
      </c>
      <c r="G303" s="53">
        <v>961649.49</v>
      </c>
      <c r="H303" s="53">
        <v>0</v>
      </c>
      <c r="I303" s="53">
        <v>0</v>
      </c>
      <c r="J303" s="53">
        <v>0</v>
      </c>
      <c r="K303" s="53">
        <v>0</v>
      </c>
      <c r="L303" s="53">
        <v>0</v>
      </c>
      <c r="M303" s="43"/>
      <c r="N303" s="53">
        <v>0</v>
      </c>
      <c r="O303" s="53">
        <v>0</v>
      </c>
      <c r="P303" s="53">
        <v>0</v>
      </c>
      <c r="Q303" s="53">
        <v>2236009.38</v>
      </c>
    </row>
    <row r="304" spans="1:17" ht="26.45">
      <c r="A304" s="44">
        <v>2024</v>
      </c>
      <c r="B304" s="46" t="s">
        <v>1411</v>
      </c>
      <c r="C304" s="46" t="s">
        <v>8972</v>
      </c>
      <c r="D304" s="44" t="s">
        <v>253</v>
      </c>
      <c r="E304" s="45" t="s">
        <v>882</v>
      </c>
      <c r="F304" s="54">
        <v>22554.54</v>
      </c>
      <c r="G304" s="54">
        <v>0</v>
      </c>
      <c r="H304" s="54">
        <v>0</v>
      </c>
      <c r="I304" s="54">
        <v>0</v>
      </c>
      <c r="J304" s="54">
        <v>0</v>
      </c>
      <c r="K304" s="54">
        <v>0</v>
      </c>
      <c r="L304" s="54">
        <v>0</v>
      </c>
      <c r="M304" s="43"/>
      <c r="N304" s="54">
        <v>0</v>
      </c>
      <c r="O304" s="54">
        <v>0</v>
      </c>
      <c r="P304" s="54">
        <v>0</v>
      </c>
      <c r="Q304" s="54">
        <v>22554.54</v>
      </c>
    </row>
    <row r="305" spans="1:17" ht="26.45">
      <c r="A305" s="47">
        <v>2024</v>
      </c>
      <c r="B305" s="50" t="s">
        <v>1411</v>
      </c>
      <c r="C305" s="50" t="s">
        <v>8972</v>
      </c>
      <c r="D305" s="47" t="s">
        <v>254</v>
      </c>
      <c r="E305" s="48" t="s">
        <v>883</v>
      </c>
      <c r="F305" s="53">
        <v>73804.94</v>
      </c>
      <c r="G305" s="53">
        <v>0</v>
      </c>
      <c r="H305" s="53">
        <v>0</v>
      </c>
      <c r="I305" s="53">
        <v>0</v>
      </c>
      <c r="J305" s="53">
        <v>0</v>
      </c>
      <c r="K305" s="53">
        <v>0</v>
      </c>
      <c r="L305" s="53">
        <v>0</v>
      </c>
      <c r="M305" s="43"/>
      <c r="N305" s="53">
        <v>0</v>
      </c>
      <c r="O305" s="53">
        <v>0</v>
      </c>
      <c r="P305" s="53">
        <v>0</v>
      </c>
      <c r="Q305" s="53">
        <v>73804.94</v>
      </c>
    </row>
    <row r="306" spans="1:17" ht="26.45">
      <c r="A306" s="44">
        <v>2024</v>
      </c>
      <c r="B306" s="46" t="s">
        <v>1411</v>
      </c>
      <c r="C306" s="46" t="s">
        <v>8972</v>
      </c>
      <c r="D306" s="44" t="s">
        <v>884</v>
      </c>
      <c r="E306" s="45" t="s">
        <v>885</v>
      </c>
      <c r="F306" s="54">
        <v>34923.480000000003</v>
      </c>
      <c r="G306" s="54">
        <v>11645.64</v>
      </c>
      <c r="H306" s="54">
        <v>0</v>
      </c>
      <c r="I306" s="54">
        <v>0</v>
      </c>
      <c r="J306" s="54">
        <v>0</v>
      </c>
      <c r="K306" s="54">
        <v>0</v>
      </c>
      <c r="L306" s="54">
        <v>0</v>
      </c>
      <c r="M306" s="43"/>
      <c r="N306" s="54">
        <v>0</v>
      </c>
      <c r="O306" s="54">
        <v>0</v>
      </c>
      <c r="P306" s="54">
        <v>0</v>
      </c>
      <c r="Q306" s="54">
        <v>46569.120000000003</v>
      </c>
    </row>
    <row r="307" spans="1:17" ht="26.45">
      <c r="A307" s="47">
        <v>2024</v>
      </c>
      <c r="B307" s="50" t="s">
        <v>1411</v>
      </c>
      <c r="C307" s="50" t="s">
        <v>8972</v>
      </c>
      <c r="D307" s="47" t="s">
        <v>886</v>
      </c>
      <c r="E307" s="48" t="s">
        <v>887</v>
      </c>
      <c r="F307" s="53">
        <v>29913.4</v>
      </c>
      <c r="G307" s="53">
        <v>14659.66</v>
      </c>
      <c r="H307" s="53">
        <v>0</v>
      </c>
      <c r="I307" s="53">
        <v>0</v>
      </c>
      <c r="J307" s="53">
        <v>0</v>
      </c>
      <c r="K307" s="53">
        <v>0</v>
      </c>
      <c r="L307" s="53">
        <v>0</v>
      </c>
      <c r="M307" s="43"/>
      <c r="N307" s="53">
        <v>0</v>
      </c>
      <c r="O307" s="53">
        <v>0</v>
      </c>
      <c r="P307" s="53">
        <v>0</v>
      </c>
      <c r="Q307" s="53">
        <v>44573.06</v>
      </c>
    </row>
    <row r="308" spans="1:17" ht="39.6">
      <c r="A308" s="44">
        <v>2024</v>
      </c>
      <c r="B308" s="46" t="s">
        <v>1411</v>
      </c>
      <c r="C308" s="46" t="s">
        <v>8972</v>
      </c>
      <c r="D308" s="44" t="s">
        <v>255</v>
      </c>
      <c r="E308" s="45" t="s">
        <v>888</v>
      </c>
      <c r="F308" s="54">
        <v>63754.78</v>
      </c>
      <c r="G308" s="54">
        <v>0</v>
      </c>
      <c r="H308" s="54">
        <v>0</v>
      </c>
      <c r="I308" s="54">
        <v>0</v>
      </c>
      <c r="J308" s="54">
        <v>0</v>
      </c>
      <c r="K308" s="54">
        <v>0</v>
      </c>
      <c r="L308" s="54">
        <v>0</v>
      </c>
      <c r="M308" s="43"/>
      <c r="N308" s="54">
        <v>0</v>
      </c>
      <c r="O308" s="54">
        <v>0</v>
      </c>
      <c r="P308" s="54">
        <v>0</v>
      </c>
      <c r="Q308" s="54">
        <v>63754.78</v>
      </c>
    </row>
    <row r="309" spans="1:17" ht="39.6">
      <c r="A309" s="47">
        <v>2024</v>
      </c>
      <c r="B309" s="50" t="s">
        <v>1411</v>
      </c>
      <c r="C309" s="50" t="s">
        <v>8972</v>
      </c>
      <c r="D309" s="47" t="s">
        <v>256</v>
      </c>
      <c r="E309" s="48" t="s">
        <v>889</v>
      </c>
      <c r="F309" s="53">
        <v>125272.15</v>
      </c>
      <c r="G309" s="53">
        <v>88226.94</v>
      </c>
      <c r="H309" s="53">
        <v>0</v>
      </c>
      <c r="I309" s="53">
        <v>0</v>
      </c>
      <c r="J309" s="53">
        <v>0</v>
      </c>
      <c r="K309" s="53">
        <v>0</v>
      </c>
      <c r="L309" s="53">
        <v>0</v>
      </c>
      <c r="M309" s="43"/>
      <c r="N309" s="53">
        <v>0</v>
      </c>
      <c r="O309" s="53">
        <v>0</v>
      </c>
      <c r="P309" s="53">
        <v>0</v>
      </c>
      <c r="Q309" s="53">
        <v>213499.09</v>
      </c>
    </row>
    <row r="310" spans="1:17" ht="26.45">
      <c r="A310" s="44">
        <v>2024</v>
      </c>
      <c r="B310" s="46" t="s">
        <v>1411</v>
      </c>
      <c r="C310" s="46" t="s">
        <v>8972</v>
      </c>
      <c r="D310" s="44" t="s">
        <v>257</v>
      </c>
      <c r="E310" s="45" t="s">
        <v>890</v>
      </c>
      <c r="F310" s="54">
        <v>116195.1</v>
      </c>
      <c r="G310" s="54">
        <v>0</v>
      </c>
      <c r="H310" s="54">
        <v>0</v>
      </c>
      <c r="I310" s="54">
        <v>0</v>
      </c>
      <c r="J310" s="54">
        <v>0</v>
      </c>
      <c r="K310" s="54">
        <v>0</v>
      </c>
      <c r="L310" s="54">
        <v>0</v>
      </c>
      <c r="M310" s="43"/>
      <c r="N310" s="54">
        <v>0</v>
      </c>
      <c r="O310" s="54">
        <v>0</v>
      </c>
      <c r="P310" s="54">
        <v>0</v>
      </c>
      <c r="Q310" s="54">
        <v>116195.1</v>
      </c>
    </row>
    <row r="311" spans="1:17" ht="26.45">
      <c r="A311" s="47">
        <v>2024</v>
      </c>
      <c r="B311" s="50" t="s">
        <v>1411</v>
      </c>
      <c r="C311" s="50" t="s">
        <v>8972</v>
      </c>
      <c r="D311" s="47" t="s">
        <v>891</v>
      </c>
      <c r="E311" s="48" t="s">
        <v>892</v>
      </c>
      <c r="F311" s="53">
        <v>78873.850000000006</v>
      </c>
      <c r="G311" s="53">
        <v>49439.81</v>
      </c>
      <c r="H311" s="53">
        <v>0</v>
      </c>
      <c r="I311" s="53">
        <v>0</v>
      </c>
      <c r="J311" s="53">
        <v>0</v>
      </c>
      <c r="K311" s="53">
        <v>0</v>
      </c>
      <c r="L311" s="53">
        <v>0</v>
      </c>
      <c r="M311" s="43"/>
      <c r="N311" s="53">
        <v>0</v>
      </c>
      <c r="O311" s="53">
        <v>0</v>
      </c>
      <c r="P311" s="53">
        <v>0</v>
      </c>
      <c r="Q311" s="53">
        <v>128313.66</v>
      </c>
    </row>
    <row r="312" spans="1:17" ht="26.45">
      <c r="A312" s="44">
        <v>2024</v>
      </c>
      <c r="B312" s="46" t="s">
        <v>1411</v>
      </c>
      <c r="C312" s="46" t="s">
        <v>8972</v>
      </c>
      <c r="D312" s="44" t="s">
        <v>893</v>
      </c>
      <c r="E312" s="45" t="s">
        <v>894</v>
      </c>
      <c r="F312" s="54">
        <v>19715.52</v>
      </c>
      <c r="G312" s="54">
        <v>0</v>
      </c>
      <c r="H312" s="54">
        <v>0</v>
      </c>
      <c r="I312" s="54">
        <v>0</v>
      </c>
      <c r="J312" s="54">
        <v>0</v>
      </c>
      <c r="K312" s="54">
        <v>0</v>
      </c>
      <c r="L312" s="54">
        <v>0</v>
      </c>
      <c r="M312" s="43"/>
      <c r="N312" s="54">
        <v>0</v>
      </c>
      <c r="O312" s="54">
        <v>0</v>
      </c>
      <c r="P312" s="54">
        <v>0</v>
      </c>
      <c r="Q312" s="54">
        <v>19715.52</v>
      </c>
    </row>
    <row r="313" spans="1:17" ht="26.45">
      <c r="A313" s="47">
        <v>2024</v>
      </c>
      <c r="B313" s="50" t="s">
        <v>1411</v>
      </c>
      <c r="C313" s="50" t="s">
        <v>8972</v>
      </c>
      <c r="D313" s="47" t="s">
        <v>895</v>
      </c>
      <c r="E313" s="48" t="s">
        <v>896</v>
      </c>
      <c r="F313" s="53">
        <v>37586.42</v>
      </c>
      <c r="G313" s="53">
        <v>0</v>
      </c>
      <c r="H313" s="53">
        <v>0</v>
      </c>
      <c r="I313" s="53">
        <v>0</v>
      </c>
      <c r="J313" s="53">
        <v>0</v>
      </c>
      <c r="K313" s="53">
        <v>0</v>
      </c>
      <c r="L313" s="53">
        <v>0</v>
      </c>
      <c r="M313" s="43"/>
      <c r="N313" s="53">
        <v>0</v>
      </c>
      <c r="O313" s="53">
        <v>0</v>
      </c>
      <c r="P313" s="53">
        <v>0</v>
      </c>
      <c r="Q313" s="53">
        <v>37586.42</v>
      </c>
    </row>
    <row r="314" spans="1:17" ht="26.45">
      <c r="A314" s="44">
        <v>2024</v>
      </c>
      <c r="B314" s="46" t="s">
        <v>1411</v>
      </c>
      <c r="C314" s="46" t="s">
        <v>8972</v>
      </c>
      <c r="D314" s="44" t="s">
        <v>897</v>
      </c>
      <c r="E314" s="45" t="s">
        <v>898</v>
      </c>
      <c r="F314" s="54">
        <v>87075.95</v>
      </c>
      <c r="G314" s="54">
        <v>0</v>
      </c>
      <c r="H314" s="54">
        <v>0</v>
      </c>
      <c r="I314" s="54">
        <v>0</v>
      </c>
      <c r="J314" s="54">
        <v>0</v>
      </c>
      <c r="K314" s="54">
        <v>0</v>
      </c>
      <c r="L314" s="54">
        <v>0</v>
      </c>
      <c r="M314" s="43"/>
      <c r="N314" s="54">
        <v>0</v>
      </c>
      <c r="O314" s="54">
        <v>0</v>
      </c>
      <c r="P314" s="54">
        <v>0</v>
      </c>
      <c r="Q314" s="54">
        <v>87075.95</v>
      </c>
    </row>
    <row r="315" spans="1:17" ht="26.45">
      <c r="A315" s="47">
        <v>2024</v>
      </c>
      <c r="B315" s="50" t="s">
        <v>1411</v>
      </c>
      <c r="C315" s="50" t="s">
        <v>8972</v>
      </c>
      <c r="D315" s="47" t="s">
        <v>899</v>
      </c>
      <c r="E315" s="48" t="s">
        <v>900</v>
      </c>
      <c r="F315" s="53">
        <v>47528.94</v>
      </c>
      <c r="G315" s="53">
        <v>105431.76</v>
      </c>
      <c r="H315" s="53">
        <v>0</v>
      </c>
      <c r="I315" s="53">
        <v>0</v>
      </c>
      <c r="J315" s="53">
        <v>0</v>
      </c>
      <c r="K315" s="53">
        <v>0</v>
      </c>
      <c r="L315" s="53">
        <v>0</v>
      </c>
      <c r="M315" s="43"/>
      <c r="N315" s="53">
        <v>0</v>
      </c>
      <c r="O315" s="53">
        <v>-44345.21</v>
      </c>
      <c r="P315" s="53">
        <v>0</v>
      </c>
      <c r="Q315" s="53">
        <v>108615.49</v>
      </c>
    </row>
    <row r="316" spans="1:17" ht="26.45">
      <c r="A316" s="44">
        <v>2024</v>
      </c>
      <c r="B316" s="46" t="s">
        <v>1411</v>
      </c>
      <c r="C316" s="46" t="s">
        <v>8972</v>
      </c>
      <c r="D316" s="44" t="s">
        <v>901</v>
      </c>
      <c r="E316" s="45" t="s">
        <v>902</v>
      </c>
      <c r="F316" s="54">
        <v>45561.13</v>
      </c>
      <c r="G316" s="54">
        <v>0</v>
      </c>
      <c r="H316" s="54">
        <v>0</v>
      </c>
      <c r="I316" s="54">
        <v>0</v>
      </c>
      <c r="J316" s="54">
        <v>0</v>
      </c>
      <c r="K316" s="54">
        <v>0</v>
      </c>
      <c r="L316" s="54">
        <v>0</v>
      </c>
      <c r="M316" s="43"/>
      <c r="N316" s="54">
        <v>0</v>
      </c>
      <c r="O316" s="54">
        <v>0</v>
      </c>
      <c r="P316" s="54">
        <v>0</v>
      </c>
      <c r="Q316" s="54">
        <v>45561.13</v>
      </c>
    </row>
    <row r="317" spans="1:17" ht="26.45">
      <c r="A317" s="47">
        <v>2024</v>
      </c>
      <c r="B317" s="50" t="s">
        <v>1411</v>
      </c>
      <c r="C317" s="50" t="s">
        <v>8972</v>
      </c>
      <c r="D317" s="47" t="s">
        <v>903</v>
      </c>
      <c r="E317" s="48" t="s">
        <v>904</v>
      </c>
      <c r="F317" s="53">
        <v>26567.39</v>
      </c>
      <c r="G317" s="53">
        <v>34083.32</v>
      </c>
      <c r="H317" s="53">
        <v>0</v>
      </c>
      <c r="I317" s="53">
        <v>0</v>
      </c>
      <c r="J317" s="53">
        <v>0</v>
      </c>
      <c r="K317" s="53">
        <v>0</v>
      </c>
      <c r="L317" s="53">
        <v>0</v>
      </c>
      <c r="M317" s="43"/>
      <c r="N317" s="53">
        <v>0</v>
      </c>
      <c r="O317" s="53">
        <v>-314.89</v>
      </c>
      <c r="P317" s="53">
        <v>0</v>
      </c>
      <c r="Q317" s="53">
        <v>60335.82</v>
      </c>
    </row>
    <row r="318" spans="1:17" ht="26.45">
      <c r="A318" s="44">
        <v>2024</v>
      </c>
      <c r="B318" s="46" t="s">
        <v>1411</v>
      </c>
      <c r="C318" s="46" t="s">
        <v>8972</v>
      </c>
      <c r="D318" s="44" t="s">
        <v>258</v>
      </c>
      <c r="E318" s="45" t="s">
        <v>905</v>
      </c>
      <c r="F318" s="54">
        <v>39017.89</v>
      </c>
      <c r="G318" s="54">
        <v>0</v>
      </c>
      <c r="H318" s="54">
        <v>0</v>
      </c>
      <c r="I318" s="54">
        <v>0</v>
      </c>
      <c r="J318" s="54">
        <v>0</v>
      </c>
      <c r="K318" s="54">
        <v>0</v>
      </c>
      <c r="L318" s="54">
        <v>0</v>
      </c>
      <c r="M318" s="43"/>
      <c r="N318" s="54">
        <v>0</v>
      </c>
      <c r="O318" s="54">
        <v>0</v>
      </c>
      <c r="P318" s="54">
        <v>0</v>
      </c>
      <c r="Q318" s="54">
        <v>39017.89</v>
      </c>
    </row>
    <row r="319" spans="1:17" ht="39.6">
      <c r="A319" s="47">
        <v>2024</v>
      </c>
      <c r="B319" s="50" t="s">
        <v>1411</v>
      </c>
      <c r="C319" s="50" t="s">
        <v>8972</v>
      </c>
      <c r="D319" s="47" t="s">
        <v>906</v>
      </c>
      <c r="E319" s="48" t="s">
        <v>907</v>
      </c>
      <c r="F319" s="53">
        <v>7292.94</v>
      </c>
      <c r="G319" s="53">
        <v>0</v>
      </c>
      <c r="H319" s="53">
        <v>0</v>
      </c>
      <c r="I319" s="53">
        <v>0</v>
      </c>
      <c r="J319" s="53">
        <v>0</v>
      </c>
      <c r="K319" s="53">
        <v>0</v>
      </c>
      <c r="L319" s="53">
        <v>-7292.94</v>
      </c>
      <c r="M319" s="43"/>
      <c r="N319" s="53">
        <v>0</v>
      </c>
      <c r="O319" s="53">
        <v>0</v>
      </c>
      <c r="P319" s="53">
        <v>0</v>
      </c>
      <c r="Q319" s="53">
        <v>0</v>
      </c>
    </row>
    <row r="320" spans="1:17" ht="26.45">
      <c r="A320" s="44">
        <v>2024</v>
      </c>
      <c r="B320" s="46" t="s">
        <v>1411</v>
      </c>
      <c r="C320" s="46" t="s">
        <v>8972</v>
      </c>
      <c r="D320" s="44" t="s">
        <v>908</v>
      </c>
      <c r="E320" s="45" t="s">
        <v>909</v>
      </c>
      <c r="F320" s="54">
        <v>18136.45</v>
      </c>
      <c r="G320" s="54">
        <v>1931.92</v>
      </c>
      <c r="H320" s="54">
        <v>0</v>
      </c>
      <c r="I320" s="54">
        <v>0</v>
      </c>
      <c r="J320" s="54">
        <v>0</v>
      </c>
      <c r="K320" s="54">
        <v>0</v>
      </c>
      <c r="L320" s="54">
        <v>0</v>
      </c>
      <c r="M320" s="43"/>
      <c r="N320" s="54">
        <v>0</v>
      </c>
      <c r="O320" s="54">
        <v>0</v>
      </c>
      <c r="P320" s="54">
        <v>0</v>
      </c>
      <c r="Q320" s="54">
        <v>20068.37</v>
      </c>
    </row>
    <row r="321" spans="1:17" ht="26.45">
      <c r="A321" s="47">
        <v>2024</v>
      </c>
      <c r="B321" s="50" t="s">
        <v>1411</v>
      </c>
      <c r="C321" s="50" t="s">
        <v>8972</v>
      </c>
      <c r="D321" s="47" t="s">
        <v>259</v>
      </c>
      <c r="E321" s="48" t="s">
        <v>910</v>
      </c>
      <c r="F321" s="53">
        <v>1166623.02</v>
      </c>
      <c r="G321" s="53">
        <v>1421463.53</v>
      </c>
      <c r="H321" s="53">
        <v>0</v>
      </c>
      <c r="I321" s="53">
        <v>0</v>
      </c>
      <c r="J321" s="53">
        <v>0</v>
      </c>
      <c r="K321" s="53">
        <v>0</v>
      </c>
      <c r="L321" s="53">
        <v>0</v>
      </c>
      <c r="M321" s="43"/>
      <c r="N321" s="53">
        <v>0</v>
      </c>
      <c r="O321" s="53">
        <v>-170850.89</v>
      </c>
      <c r="P321" s="53">
        <v>0</v>
      </c>
      <c r="Q321" s="53">
        <v>2417235.66</v>
      </c>
    </row>
    <row r="322" spans="1:17" ht="26.45">
      <c r="A322" s="44">
        <v>2024</v>
      </c>
      <c r="B322" s="46" t="s">
        <v>1411</v>
      </c>
      <c r="C322" s="46" t="s">
        <v>8972</v>
      </c>
      <c r="D322" s="44" t="s">
        <v>260</v>
      </c>
      <c r="E322" s="45" t="s">
        <v>911</v>
      </c>
      <c r="F322" s="54">
        <v>734924.45</v>
      </c>
      <c r="G322" s="54">
        <v>240702.18</v>
      </c>
      <c r="H322" s="54">
        <v>0</v>
      </c>
      <c r="I322" s="54">
        <v>0</v>
      </c>
      <c r="J322" s="54">
        <v>0</v>
      </c>
      <c r="K322" s="54">
        <v>0</v>
      </c>
      <c r="L322" s="54">
        <v>0</v>
      </c>
      <c r="M322" s="43"/>
      <c r="N322" s="54">
        <v>0</v>
      </c>
      <c r="O322" s="54">
        <v>0</v>
      </c>
      <c r="P322" s="54">
        <v>0</v>
      </c>
      <c r="Q322" s="54">
        <v>975626.63</v>
      </c>
    </row>
    <row r="323" spans="1:17" ht="26.45">
      <c r="A323" s="47">
        <v>2024</v>
      </c>
      <c r="B323" s="50" t="s">
        <v>1411</v>
      </c>
      <c r="C323" s="50" t="s">
        <v>8972</v>
      </c>
      <c r="D323" s="47" t="s">
        <v>912</v>
      </c>
      <c r="E323" s="48" t="s">
        <v>913</v>
      </c>
      <c r="F323" s="53">
        <v>21513.23</v>
      </c>
      <c r="G323" s="53">
        <v>0</v>
      </c>
      <c r="H323" s="53">
        <v>0</v>
      </c>
      <c r="I323" s="53">
        <v>0</v>
      </c>
      <c r="J323" s="53">
        <v>0</v>
      </c>
      <c r="K323" s="53">
        <v>0</v>
      </c>
      <c r="L323" s="53">
        <v>0</v>
      </c>
      <c r="M323" s="43"/>
      <c r="N323" s="53">
        <v>0</v>
      </c>
      <c r="O323" s="53">
        <v>0</v>
      </c>
      <c r="P323" s="53">
        <v>0</v>
      </c>
      <c r="Q323" s="53">
        <v>21513.23</v>
      </c>
    </row>
    <row r="324" spans="1:17" ht="39.6">
      <c r="A324" s="44">
        <v>2024</v>
      </c>
      <c r="B324" s="46" t="s">
        <v>1411</v>
      </c>
      <c r="C324" s="46" t="s">
        <v>8972</v>
      </c>
      <c r="D324" s="44" t="s">
        <v>914</v>
      </c>
      <c r="E324" s="45" t="s">
        <v>915</v>
      </c>
      <c r="F324" s="54">
        <v>6943.42</v>
      </c>
      <c r="G324" s="54">
        <v>76.03</v>
      </c>
      <c r="H324" s="54">
        <v>0</v>
      </c>
      <c r="I324" s="54">
        <v>0</v>
      </c>
      <c r="J324" s="54">
        <v>0</v>
      </c>
      <c r="K324" s="54">
        <v>0</v>
      </c>
      <c r="L324" s="54">
        <v>0</v>
      </c>
      <c r="M324" s="43"/>
      <c r="N324" s="54">
        <v>0</v>
      </c>
      <c r="O324" s="54">
        <v>0</v>
      </c>
      <c r="P324" s="54">
        <v>0</v>
      </c>
      <c r="Q324" s="54">
        <v>7019.45</v>
      </c>
    </row>
    <row r="325" spans="1:17" ht="26.45">
      <c r="A325" s="47">
        <v>2024</v>
      </c>
      <c r="B325" s="50" t="s">
        <v>1411</v>
      </c>
      <c r="C325" s="50" t="s">
        <v>8972</v>
      </c>
      <c r="D325" s="47" t="s">
        <v>261</v>
      </c>
      <c r="E325" s="48" t="s">
        <v>916</v>
      </c>
      <c r="F325" s="53">
        <v>121301.11</v>
      </c>
      <c r="G325" s="53">
        <v>101523.84</v>
      </c>
      <c r="H325" s="53">
        <v>0</v>
      </c>
      <c r="I325" s="53">
        <v>0</v>
      </c>
      <c r="J325" s="53">
        <v>0</v>
      </c>
      <c r="K325" s="53">
        <v>0</v>
      </c>
      <c r="L325" s="53">
        <v>0</v>
      </c>
      <c r="M325" s="43"/>
      <c r="N325" s="53">
        <v>0</v>
      </c>
      <c r="O325" s="53">
        <v>0</v>
      </c>
      <c r="P325" s="53">
        <v>0</v>
      </c>
      <c r="Q325" s="53">
        <v>222824.95</v>
      </c>
    </row>
    <row r="326" spans="1:17" ht="26.45">
      <c r="A326" s="44">
        <v>2024</v>
      </c>
      <c r="B326" s="46" t="s">
        <v>1411</v>
      </c>
      <c r="C326" s="46" t="s">
        <v>8972</v>
      </c>
      <c r="D326" s="44" t="s">
        <v>262</v>
      </c>
      <c r="E326" s="45" t="s">
        <v>917</v>
      </c>
      <c r="F326" s="54">
        <v>175033.86</v>
      </c>
      <c r="G326" s="54">
        <v>0</v>
      </c>
      <c r="H326" s="54">
        <v>0</v>
      </c>
      <c r="I326" s="54">
        <v>0</v>
      </c>
      <c r="J326" s="54">
        <v>0</v>
      </c>
      <c r="K326" s="54">
        <v>0</v>
      </c>
      <c r="L326" s="54">
        <v>0</v>
      </c>
      <c r="M326" s="43"/>
      <c r="N326" s="54">
        <v>0</v>
      </c>
      <c r="O326" s="54">
        <v>0</v>
      </c>
      <c r="P326" s="54">
        <v>0</v>
      </c>
      <c r="Q326" s="54">
        <v>175033.86</v>
      </c>
    </row>
    <row r="327" spans="1:17" ht="39.6">
      <c r="A327" s="47">
        <v>2024</v>
      </c>
      <c r="B327" s="50" t="s">
        <v>1411</v>
      </c>
      <c r="C327" s="50" t="s">
        <v>8972</v>
      </c>
      <c r="D327" s="47" t="s">
        <v>263</v>
      </c>
      <c r="E327" s="48" t="s">
        <v>918</v>
      </c>
      <c r="F327" s="53">
        <v>14464.18</v>
      </c>
      <c r="G327" s="53">
        <v>688.96</v>
      </c>
      <c r="H327" s="53">
        <v>0</v>
      </c>
      <c r="I327" s="53">
        <v>0</v>
      </c>
      <c r="J327" s="53">
        <v>0</v>
      </c>
      <c r="K327" s="53">
        <v>0</v>
      </c>
      <c r="L327" s="53">
        <v>0</v>
      </c>
      <c r="M327" s="43"/>
      <c r="N327" s="53">
        <v>0</v>
      </c>
      <c r="O327" s="53">
        <v>0</v>
      </c>
      <c r="P327" s="53">
        <v>0</v>
      </c>
      <c r="Q327" s="53">
        <v>15153.14</v>
      </c>
    </row>
    <row r="328" spans="1:17" ht="39.6">
      <c r="A328" s="44">
        <v>2024</v>
      </c>
      <c r="B328" s="46" t="s">
        <v>1411</v>
      </c>
      <c r="C328" s="46" t="s">
        <v>8972</v>
      </c>
      <c r="D328" s="44" t="s">
        <v>264</v>
      </c>
      <c r="E328" s="45" t="s">
        <v>919</v>
      </c>
      <c r="F328" s="54">
        <v>47704.58</v>
      </c>
      <c r="G328" s="54">
        <v>0</v>
      </c>
      <c r="H328" s="54">
        <v>0</v>
      </c>
      <c r="I328" s="54">
        <v>0</v>
      </c>
      <c r="J328" s="54">
        <v>0</v>
      </c>
      <c r="K328" s="54">
        <v>0</v>
      </c>
      <c r="L328" s="54">
        <v>0</v>
      </c>
      <c r="M328" s="43"/>
      <c r="N328" s="54">
        <v>0</v>
      </c>
      <c r="O328" s="54">
        <v>0</v>
      </c>
      <c r="P328" s="54">
        <v>0</v>
      </c>
      <c r="Q328" s="54">
        <v>47704.58</v>
      </c>
    </row>
    <row r="329" spans="1:17" ht="52.9">
      <c r="A329" s="47">
        <v>2024</v>
      </c>
      <c r="B329" s="50" t="s">
        <v>1411</v>
      </c>
      <c r="C329" s="50" t="s">
        <v>8972</v>
      </c>
      <c r="D329" s="47" t="s">
        <v>265</v>
      </c>
      <c r="E329" s="48" t="s">
        <v>920</v>
      </c>
      <c r="F329" s="53">
        <v>26780.47</v>
      </c>
      <c r="G329" s="53">
        <v>455</v>
      </c>
      <c r="H329" s="53">
        <v>0</v>
      </c>
      <c r="I329" s="53">
        <v>0</v>
      </c>
      <c r="J329" s="53">
        <v>0</v>
      </c>
      <c r="K329" s="53">
        <v>0</v>
      </c>
      <c r="L329" s="53">
        <v>0</v>
      </c>
      <c r="M329" s="43"/>
      <c r="N329" s="53">
        <v>0</v>
      </c>
      <c r="O329" s="53">
        <v>0</v>
      </c>
      <c r="P329" s="53">
        <v>0</v>
      </c>
      <c r="Q329" s="53">
        <v>27235.47</v>
      </c>
    </row>
    <row r="330" spans="1:17" ht="39.6">
      <c r="A330" s="44">
        <v>2024</v>
      </c>
      <c r="B330" s="46" t="s">
        <v>1411</v>
      </c>
      <c r="C330" s="46" t="s">
        <v>8972</v>
      </c>
      <c r="D330" s="44" t="s">
        <v>921</v>
      </c>
      <c r="E330" s="45" t="s">
        <v>922</v>
      </c>
      <c r="F330" s="54">
        <v>125469.24</v>
      </c>
      <c r="G330" s="54">
        <v>6300.52</v>
      </c>
      <c r="H330" s="54">
        <v>0</v>
      </c>
      <c r="I330" s="54">
        <v>0</v>
      </c>
      <c r="J330" s="54">
        <v>0</v>
      </c>
      <c r="K330" s="54">
        <v>0</v>
      </c>
      <c r="L330" s="54">
        <v>0</v>
      </c>
      <c r="M330" s="43"/>
      <c r="N330" s="54">
        <v>0</v>
      </c>
      <c r="O330" s="54">
        <v>0</v>
      </c>
      <c r="P330" s="54">
        <v>0</v>
      </c>
      <c r="Q330" s="54">
        <v>131769.76</v>
      </c>
    </row>
    <row r="331" spans="1:17" ht="39.6">
      <c r="A331" s="47">
        <v>2024</v>
      </c>
      <c r="B331" s="50" t="s">
        <v>1411</v>
      </c>
      <c r="C331" s="50" t="s">
        <v>8972</v>
      </c>
      <c r="D331" s="47" t="s">
        <v>266</v>
      </c>
      <c r="E331" s="48" t="s">
        <v>923</v>
      </c>
      <c r="F331" s="53">
        <v>28318.46</v>
      </c>
      <c r="G331" s="53">
        <v>0</v>
      </c>
      <c r="H331" s="53">
        <v>0</v>
      </c>
      <c r="I331" s="53">
        <v>0</v>
      </c>
      <c r="J331" s="53">
        <v>0</v>
      </c>
      <c r="K331" s="53">
        <v>0</v>
      </c>
      <c r="L331" s="53">
        <v>0</v>
      </c>
      <c r="M331" s="43"/>
      <c r="N331" s="53">
        <v>0</v>
      </c>
      <c r="O331" s="53">
        <v>0</v>
      </c>
      <c r="P331" s="53">
        <v>0</v>
      </c>
      <c r="Q331" s="53">
        <v>28318.46</v>
      </c>
    </row>
    <row r="332" spans="1:17" ht="39.6">
      <c r="A332" s="44">
        <v>2024</v>
      </c>
      <c r="B332" s="46" t="s">
        <v>1411</v>
      </c>
      <c r="C332" s="46" t="s">
        <v>8972</v>
      </c>
      <c r="D332" s="44" t="s">
        <v>267</v>
      </c>
      <c r="E332" s="45" t="s">
        <v>924</v>
      </c>
      <c r="F332" s="54">
        <v>39654.93</v>
      </c>
      <c r="G332" s="54">
        <v>0</v>
      </c>
      <c r="H332" s="54">
        <v>0</v>
      </c>
      <c r="I332" s="54">
        <v>0</v>
      </c>
      <c r="J332" s="54">
        <v>0</v>
      </c>
      <c r="K332" s="54">
        <v>0</v>
      </c>
      <c r="L332" s="54">
        <v>0</v>
      </c>
      <c r="M332" s="43"/>
      <c r="N332" s="54">
        <v>0</v>
      </c>
      <c r="O332" s="54">
        <v>0</v>
      </c>
      <c r="P332" s="54">
        <v>0</v>
      </c>
      <c r="Q332" s="54">
        <v>39654.93</v>
      </c>
    </row>
    <row r="333" spans="1:17" ht="39.6">
      <c r="A333" s="47">
        <v>2024</v>
      </c>
      <c r="B333" s="50" t="s">
        <v>1411</v>
      </c>
      <c r="C333" s="50" t="s">
        <v>8972</v>
      </c>
      <c r="D333" s="47" t="s">
        <v>268</v>
      </c>
      <c r="E333" s="48" t="s">
        <v>925</v>
      </c>
      <c r="F333" s="53">
        <v>57379.34</v>
      </c>
      <c r="G333" s="53">
        <v>0</v>
      </c>
      <c r="H333" s="53">
        <v>0</v>
      </c>
      <c r="I333" s="53">
        <v>0</v>
      </c>
      <c r="J333" s="53">
        <v>0</v>
      </c>
      <c r="K333" s="53">
        <v>0</v>
      </c>
      <c r="L333" s="53">
        <v>0</v>
      </c>
      <c r="M333" s="43"/>
      <c r="N333" s="53">
        <v>0</v>
      </c>
      <c r="O333" s="53">
        <v>0</v>
      </c>
      <c r="P333" s="53">
        <v>0</v>
      </c>
      <c r="Q333" s="53">
        <v>57379.34</v>
      </c>
    </row>
    <row r="334" spans="1:17" ht="39.6">
      <c r="A334" s="44">
        <v>2024</v>
      </c>
      <c r="B334" s="46" t="s">
        <v>1411</v>
      </c>
      <c r="C334" s="46" t="s">
        <v>8972</v>
      </c>
      <c r="D334" s="44" t="s">
        <v>926</v>
      </c>
      <c r="E334" s="45" t="s">
        <v>927</v>
      </c>
      <c r="F334" s="54">
        <v>92572.79</v>
      </c>
      <c r="G334" s="54">
        <v>6228.58</v>
      </c>
      <c r="H334" s="54">
        <v>0</v>
      </c>
      <c r="I334" s="54">
        <v>0</v>
      </c>
      <c r="J334" s="54">
        <v>0</v>
      </c>
      <c r="K334" s="54">
        <v>0</v>
      </c>
      <c r="L334" s="54">
        <v>0</v>
      </c>
      <c r="M334" s="43"/>
      <c r="N334" s="54">
        <v>0</v>
      </c>
      <c r="O334" s="54">
        <v>0</v>
      </c>
      <c r="P334" s="54">
        <v>0</v>
      </c>
      <c r="Q334" s="54">
        <v>98801.37</v>
      </c>
    </row>
    <row r="335" spans="1:17" ht="52.9">
      <c r="A335" s="47">
        <v>2024</v>
      </c>
      <c r="B335" s="50" t="s">
        <v>1411</v>
      </c>
      <c r="C335" s="50" t="s">
        <v>8972</v>
      </c>
      <c r="D335" s="47" t="s">
        <v>928</v>
      </c>
      <c r="E335" s="48" t="s">
        <v>929</v>
      </c>
      <c r="F335" s="53">
        <v>102738.31</v>
      </c>
      <c r="G335" s="53">
        <v>7320.93</v>
      </c>
      <c r="H335" s="53">
        <v>0</v>
      </c>
      <c r="I335" s="53">
        <v>0</v>
      </c>
      <c r="J335" s="53">
        <v>0</v>
      </c>
      <c r="K335" s="53">
        <v>0</v>
      </c>
      <c r="L335" s="53">
        <v>0</v>
      </c>
      <c r="M335" s="43"/>
      <c r="N335" s="53">
        <v>0</v>
      </c>
      <c r="O335" s="53">
        <v>0</v>
      </c>
      <c r="P335" s="53">
        <v>0</v>
      </c>
      <c r="Q335" s="53">
        <v>110059.24</v>
      </c>
    </row>
    <row r="336" spans="1:17" ht="39.6">
      <c r="A336" s="44">
        <v>2024</v>
      </c>
      <c r="B336" s="46" t="s">
        <v>1411</v>
      </c>
      <c r="C336" s="46" t="s">
        <v>8972</v>
      </c>
      <c r="D336" s="44" t="s">
        <v>930</v>
      </c>
      <c r="E336" s="45" t="s">
        <v>931</v>
      </c>
      <c r="F336" s="54">
        <v>50701.279999999999</v>
      </c>
      <c r="G336" s="54">
        <v>11808.54</v>
      </c>
      <c r="H336" s="54">
        <v>0</v>
      </c>
      <c r="I336" s="54">
        <v>0</v>
      </c>
      <c r="J336" s="54">
        <v>0</v>
      </c>
      <c r="K336" s="54">
        <v>0</v>
      </c>
      <c r="L336" s="54">
        <v>0</v>
      </c>
      <c r="M336" s="43"/>
      <c r="N336" s="54">
        <v>0</v>
      </c>
      <c r="O336" s="54">
        <v>0</v>
      </c>
      <c r="P336" s="54">
        <v>0</v>
      </c>
      <c r="Q336" s="54">
        <v>62509.82</v>
      </c>
    </row>
    <row r="337" spans="1:17" ht="52.9">
      <c r="A337" s="47">
        <v>2024</v>
      </c>
      <c r="B337" s="50" t="s">
        <v>1411</v>
      </c>
      <c r="C337" s="50" t="s">
        <v>8972</v>
      </c>
      <c r="D337" s="47" t="s">
        <v>269</v>
      </c>
      <c r="E337" s="48" t="s">
        <v>932</v>
      </c>
      <c r="F337" s="53">
        <v>53046.06</v>
      </c>
      <c r="G337" s="53">
        <v>0</v>
      </c>
      <c r="H337" s="53">
        <v>0</v>
      </c>
      <c r="I337" s="53">
        <v>0</v>
      </c>
      <c r="J337" s="53">
        <v>0</v>
      </c>
      <c r="K337" s="53">
        <v>0</v>
      </c>
      <c r="L337" s="53">
        <v>0</v>
      </c>
      <c r="M337" s="43"/>
      <c r="N337" s="53">
        <v>0</v>
      </c>
      <c r="O337" s="53">
        <v>0</v>
      </c>
      <c r="P337" s="53">
        <v>0</v>
      </c>
      <c r="Q337" s="53">
        <v>53046.06</v>
      </c>
    </row>
    <row r="338" spans="1:17" ht="52.9">
      <c r="A338" s="44">
        <v>2024</v>
      </c>
      <c r="B338" s="46" t="s">
        <v>1411</v>
      </c>
      <c r="C338" s="46" t="s">
        <v>8972</v>
      </c>
      <c r="D338" s="44" t="s">
        <v>933</v>
      </c>
      <c r="E338" s="45" t="s">
        <v>934</v>
      </c>
      <c r="F338" s="54">
        <v>26393.33</v>
      </c>
      <c r="G338" s="54">
        <v>0</v>
      </c>
      <c r="H338" s="54">
        <v>0</v>
      </c>
      <c r="I338" s="54">
        <v>0</v>
      </c>
      <c r="J338" s="54">
        <v>0</v>
      </c>
      <c r="K338" s="54">
        <v>0</v>
      </c>
      <c r="L338" s="54">
        <v>0</v>
      </c>
      <c r="M338" s="43"/>
      <c r="N338" s="54">
        <v>0</v>
      </c>
      <c r="O338" s="54">
        <v>0</v>
      </c>
      <c r="P338" s="54">
        <v>0</v>
      </c>
      <c r="Q338" s="54">
        <v>26393.33</v>
      </c>
    </row>
    <row r="339" spans="1:17" ht="39.6">
      <c r="A339" s="47">
        <v>2024</v>
      </c>
      <c r="B339" s="50" t="s">
        <v>1411</v>
      </c>
      <c r="C339" s="50" t="s">
        <v>8972</v>
      </c>
      <c r="D339" s="47" t="s">
        <v>935</v>
      </c>
      <c r="E339" s="48" t="s">
        <v>936</v>
      </c>
      <c r="F339" s="53">
        <v>34333.83</v>
      </c>
      <c r="G339" s="53">
        <v>35677.19</v>
      </c>
      <c r="H339" s="53">
        <v>0</v>
      </c>
      <c r="I339" s="53">
        <v>0</v>
      </c>
      <c r="J339" s="53">
        <v>0</v>
      </c>
      <c r="K339" s="53">
        <v>0</v>
      </c>
      <c r="L339" s="53">
        <v>0</v>
      </c>
      <c r="M339" s="43"/>
      <c r="N339" s="53">
        <v>0</v>
      </c>
      <c r="O339" s="53">
        <v>0</v>
      </c>
      <c r="P339" s="53">
        <v>0</v>
      </c>
      <c r="Q339" s="53">
        <v>70011.02</v>
      </c>
    </row>
    <row r="340" spans="1:17" ht="52.9">
      <c r="A340" s="44">
        <v>2024</v>
      </c>
      <c r="B340" s="46" t="s">
        <v>1411</v>
      </c>
      <c r="C340" s="46" t="s">
        <v>8972</v>
      </c>
      <c r="D340" s="44" t="s">
        <v>937</v>
      </c>
      <c r="E340" s="45" t="s">
        <v>938</v>
      </c>
      <c r="F340" s="54">
        <v>29904.400000000001</v>
      </c>
      <c r="G340" s="54">
        <v>20708.29</v>
      </c>
      <c r="H340" s="54">
        <v>0</v>
      </c>
      <c r="I340" s="54">
        <v>0</v>
      </c>
      <c r="J340" s="54">
        <v>0</v>
      </c>
      <c r="K340" s="54">
        <v>0</v>
      </c>
      <c r="L340" s="54">
        <v>0</v>
      </c>
      <c r="M340" s="43"/>
      <c r="N340" s="54">
        <v>0</v>
      </c>
      <c r="O340" s="54">
        <v>0</v>
      </c>
      <c r="P340" s="54">
        <v>0</v>
      </c>
      <c r="Q340" s="54">
        <v>50612.69</v>
      </c>
    </row>
    <row r="341" spans="1:17" ht="52.9">
      <c r="A341" s="47">
        <v>2024</v>
      </c>
      <c r="B341" s="50" t="s">
        <v>1411</v>
      </c>
      <c r="C341" s="50" t="s">
        <v>8972</v>
      </c>
      <c r="D341" s="47" t="s">
        <v>270</v>
      </c>
      <c r="E341" s="48" t="s">
        <v>939</v>
      </c>
      <c r="F341" s="53">
        <v>19110.060000000001</v>
      </c>
      <c r="G341" s="53">
        <v>2623.91</v>
      </c>
      <c r="H341" s="53">
        <v>0</v>
      </c>
      <c r="I341" s="53">
        <v>0</v>
      </c>
      <c r="J341" s="53">
        <v>0</v>
      </c>
      <c r="K341" s="53">
        <v>0</v>
      </c>
      <c r="L341" s="53">
        <v>0</v>
      </c>
      <c r="M341" s="43"/>
      <c r="N341" s="53">
        <v>0</v>
      </c>
      <c r="O341" s="53">
        <v>0</v>
      </c>
      <c r="P341" s="53">
        <v>0</v>
      </c>
      <c r="Q341" s="53">
        <v>21733.97</v>
      </c>
    </row>
    <row r="342" spans="1:17" ht="52.9">
      <c r="A342" s="44">
        <v>2024</v>
      </c>
      <c r="B342" s="46" t="s">
        <v>1411</v>
      </c>
      <c r="C342" s="46" t="s">
        <v>8972</v>
      </c>
      <c r="D342" s="44" t="s">
        <v>940</v>
      </c>
      <c r="E342" s="45" t="s">
        <v>941</v>
      </c>
      <c r="F342" s="54">
        <v>6451.08</v>
      </c>
      <c r="G342" s="54">
        <v>4096.21</v>
      </c>
      <c r="H342" s="54">
        <v>0</v>
      </c>
      <c r="I342" s="54">
        <v>0</v>
      </c>
      <c r="J342" s="54">
        <v>0</v>
      </c>
      <c r="K342" s="54">
        <v>0</v>
      </c>
      <c r="L342" s="54">
        <v>0</v>
      </c>
      <c r="M342" s="43"/>
      <c r="N342" s="54">
        <v>0</v>
      </c>
      <c r="O342" s="54">
        <v>0</v>
      </c>
      <c r="P342" s="54">
        <v>0</v>
      </c>
      <c r="Q342" s="54">
        <v>10547.29</v>
      </c>
    </row>
    <row r="343" spans="1:17" ht="26.45">
      <c r="A343" s="47">
        <v>2024</v>
      </c>
      <c r="B343" s="50" t="s">
        <v>1411</v>
      </c>
      <c r="C343" s="50" t="s">
        <v>8972</v>
      </c>
      <c r="D343" s="47" t="s">
        <v>271</v>
      </c>
      <c r="E343" s="48" t="s">
        <v>942</v>
      </c>
      <c r="F343" s="53">
        <v>46538.76</v>
      </c>
      <c r="G343" s="53">
        <v>0</v>
      </c>
      <c r="H343" s="53">
        <v>0</v>
      </c>
      <c r="I343" s="53">
        <v>0</v>
      </c>
      <c r="J343" s="53">
        <v>0</v>
      </c>
      <c r="K343" s="53">
        <v>0</v>
      </c>
      <c r="L343" s="53">
        <v>0</v>
      </c>
      <c r="M343" s="43"/>
      <c r="N343" s="53">
        <v>0</v>
      </c>
      <c r="O343" s="53">
        <v>0</v>
      </c>
      <c r="P343" s="53">
        <v>0</v>
      </c>
      <c r="Q343" s="53">
        <v>46538.76</v>
      </c>
    </row>
    <row r="344" spans="1:17" ht="26.45">
      <c r="A344" s="44">
        <v>2024</v>
      </c>
      <c r="B344" s="46" t="s">
        <v>1411</v>
      </c>
      <c r="C344" s="46" t="s">
        <v>8972</v>
      </c>
      <c r="D344" s="44" t="s">
        <v>272</v>
      </c>
      <c r="E344" s="45" t="s">
        <v>943</v>
      </c>
      <c r="F344" s="54">
        <v>369188.68</v>
      </c>
      <c r="G344" s="54">
        <v>9470.33</v>
      </c>
      <c r="H344" s="54">
        <v>0</v>
      </c>
      <c r="I344" s="54">
        <v>0</v>
      </c>
      <c r="J344" s="54">
        <v>0</v>
      </c>
      <c r="K344" s="54">
        <v>0</v>
      </c>
      <c r="L344" s="54">
        <v>0</v>
      </c>
      <c r="M344" s="43"/>
      <c r="N344" s="54">
        <v>0</v>
      </c>
      <c r="O344" s="54">
        <v>0</v>
      </c>
      <c r="P344" s="54">
        <v>0</v>
      </c>
      <c r="Q344" s="54">
        <v>378659.01</v>
      </c>
    </row>
    <row r="345" spans="1:17" ht="26.45">
      <c r="A345" s="47">
        <v>2024</v>
      </c>
      <c r="B345" s="50" t="s">
        <v>1411</v>
      </c>
      <c r="C345" s="50" t="s">
        <v>8972</v>
      </c>
      <c r="D345" s="47" t="s">
        <v>944</v>
      </c>
      <c r="E345" s="48" t="s">
        <v>945</v>
      </c>
      <c r="F345" s="53">
        <v>9949</v>
      </c>
      <c r="G345" s="53">
        <v>664.76</v>
      </c>
      <c r="H345" s="53">
        <v>0</v>
      </c>
      <c r="I345" s="53">
        <v>0</v>
      </c>
      <c r="J345" s="53">
        <v>0</v>
      </c>
      <c r="K345" s="53">
        <v>0</v>
      </c>
      <c r="L345" s="53">
        <v>0</v>
      </c>
      <c r="M345" s="43"/>
      <c r="N345" s="53">
        <v>0</v>
      </c>
      <c r="O345" s="53">
        <v>0</v>
      </c>
      <c r="P345" s="53">
        <v>0</v>
      </c>
      <c r="Q345" s="53">
        <v>10613.76</v>
      </c>
    </row>
    <row r="346" spans="1:17" ht="26.45">
      <c r="A346" s="44">
        <v>2024</v>
      </c>
      <c r="B346" s="46" t="s">
        <v>1411</v>
      </c>
      <c r="C346" s="46" t="s">
        <v>8972</v>
      </c>
      <c r="D346" s="44" t="s">
        <v>946</v>
      </c>
      <c r="E346" s="45" t="s">
        <v>947</v>
      </c>
      <c r="F346" s="54">
        <v>23375.88</v>
      </c>
      <c r="G346" s="54">
        <v>0</v>
      </c>
      <c r="H346" s="54">
        <v>0</v>
      </c>
      <c r="I346" s="54">
        <v>0</v>
      </c>
      <c r="J346" s="54">
        <v>0</v>
      </c>
      <c r="K346" s="54">
        <v>0</v>
      </c>
      <c r="L346" s="54">
        <v>0</v>
      </c>
      <c r="M346" s="43"/>
      <c r="N346" s="54">
        <v>0</v>
      </c>
      <c r="O346" s="54">
        <v>0</v>
      </c>
      <c r="P346" s="54">
        <v>0</v>
      </c>
      <c r="Q346" s="54">
        <v>23375.88</v>
      </c>
    </row>
    <row r="347" spans="1:17" ht="26.45">
      <c r="A347" s="47">
        <v>2024</v>
      </c>
      <c r="B347" s="50" t="s">
        <v>1411</v>
      </c>
      <c r="C347" s="50" t="s">
        <v>8972</v>
      </c>
      <c r="D347" s="47" t="s">
        <v>273</v>
      </c>
      <c r="E347" s="48" t="s">
        <v>948</v>
      </c>
      <c r="F347" s="53">
        <v>41048.94</v>
      </c>
      <c r="G347" s="53">
        <v>0</v>
      </c>
      <c r="H347" s="53">
        <v>0</v>
      </c>
      <c r="I347" s="53">
        <v>0</v>
      </c>
      <c r="J347" s="53">
        <v>0</v>
      </c>
      <c r="K347" s="53">
        <v>0</v>
      </c>
      <c r="L347" s="53">
        <v>0</v>
      </c>
      <c r="M347" s="43"/>
      <c r="N347" s="53">
        <v>0</v>
      </c>
      <c r="O347" s="53">
        <v>0</v>
      </c>
      <c r="P347" s="53">
        <v>0</v>
      </c>
      <c r="Q347" s="53">
        <v>41048.94</v>
      </c>
    </row>
    <row r="348" spans="1:17" ht="26.45">
      <c r="A348" s="44">
        <v>2024</v>
      </c>
      <c r="B348" s="46" t="s">
        <v>1411</v>
      </c>
      <c r="C348" s="46" t="s">
        <v>8972</v>
      </c>
      <c r="D348" s="44" t="s">
        <v>274</v>
      </c>
      <c r="E348" s="45" t="s">
        <v>949</v>
      </c>
      <c r="F348" s="54">
        <v>15153.83</v>
      </c>
      <c r="G348" s="54">
        <v>2852.67</v>
      </c>
      <c r="H348" s="54">
        <v>0</v>
      </c>
      <c r="I348" s="54">
        <v>0</v>
      </c>
      <c r="J348" s="54">
        <v>0</v>
      </c>
      <c r="K348" s="54">
        <v>0</v>
      </c>
      <c r="L348" s="54">
        <v>0</v>
      </c>
      <c r="M348" s="43"/>
      <c r="N348" s="54">
        <v>0</v>
      </c>
      <c r="O348" s="54">
        <v>0</v>
      </c>
      <c r="P348" s="54">
        <v>0</v>
      </c>
      <c r="Q348" s="54">
        <v>18006.5</v>
      </c>
    </row>
    <row r="349" spans="1:17" ht="26.45">
      <c r="A349" s="47">
        <v>2024</v>
      </c>
      <c r="B349" s="50" t="s">
        <v>1411</v>
      </c>
      <c r="C349" s="50" t="s">
        <v>8972</v>
      </c>
      <c r="D349" s="47" t="s">
        <v>275</v>
      </c>
      <c r="E349" s="48" t="s">
        <v>950</v>
      </c>
      <c r="F349" s="53">
        <v>262468.89</v>
      </c>
      <c r="G349" s="53">
        <v>131494.48000000001</v>
      </c>
      <c r="H349" s="53">
        <v>0</v>
      </c>
      <c r="I349" s="53">
        <v>0</v>
      </c>
      <c r="J349" s="53">
        <v>0</v>
      </c>
      <c r="K349" s="53">
        <v>0</v>
      </c>
      <c r="L349" s="53">
        <v>0</v>
      </c>
      <c r="M349" s="43"/>
      <c r="N349" s="53">
        <v>0</v>
      </c>
      <c r="O349" s="53">
        <v>0</v>
      </c>
      <c r="P349" s="53">
        <v>0</v>
      </c>
      <c r="Q349" s="53">
        <v>393963.37</v>
      </c>
    </row>
    <row r="350" spans="1:17" ht="26.45">
      <c r="A350" s="44">
        <v>2024</v>
      </c>
      <c r="B350" s="46" t="s">
        <v>1411</v>
      </c>
      <c r="C350" s="46" t="s">
        <v>8972</v>
      </c>
      <c r="D350" s="44" t="s">
        <v>276</v>
      </c>
      <c r="E350" s="45" t="s">
        <v>951</v>
      </c>
      <c r="F350" s="54">
        <v>1688481.94</v>
      </c>
      <c r="G350" s="54">
        <v>776839.31</v>
      </c>
      <c r="H350" s="54">
        <v>0</v>
      </c>
      <c r="I350" s="54">
        <v>0</v>
      </c>
      <c r="J350" s="54">
        <v>0</v>
      </c>
      <c r="K350" s="54">
        <v>0</v>
      </c>
      <c r="L350" s="54">
        <v>0</v>
      </c>
      <c r="M350" s="43"/>
      <c r="N350" s="54">
        <v>0</v>
      </c>
      <c r="O350" s="54">
        <v>0</v>
      </c>
      <c r="P350" s="54">
        <v>0</v>
      </c>
      <c r="Q350" s="54">
        <v>2465321.25</v>
      </c>
    </row>
    <row r="351" spans="1:17" ht="26.45">
      <c r="A351" s="47">
        <v>2024</v>
      </c>
      <c r="B351" s="50" t="s">
        <v>1411</v>
      </c>
      <c r="C351" s="50" t="s">
        <v>8972</v>
      </c>
      <c r="D351" s="47" t="s">
        <v>277</v>
      </c>
      <c r="E351" s="48" t="s">
        <v>952</v>
      </c>
      <c r="F351" s="53">
        <v>24699.23</v>
      </c>
      <c r="G351" s="53">
        <v>1969.01</v>
      </c>
      <c r="H351" s="53">
        <v>0</v>
      </c>
      <c r="I351" s="53">
        <v>0</v>
      </c>
      <c r="J351" s="53">
        <v>0</v>
      </c>
      <c r="K351" s="53">
        <v>0</v>
      </c>
      <c r="L351" s="53">
        <v>0</v>
      </c>
      <c r="M351" s="43"/>
      <c r="N351" s="53">
        <v>0</v>
      </c>
      <c r="O351" s="53">
        <v>0</v>
      </c>
      <c r="P351" s="53">
        <v>0</v>
      </c>
      <c r="Q351" s="53">
        <v>26668.240000000002</v>
      </c>
    </row>
    <row r="352" spans="1:17" ht="26.45">
      <c r="A352" s="44">
        <v>2024</v>
      </c>
      <c r="B352" s="46" t="s">
        <v>1411</v>
      </c>
      <c r="C352" s="46" t="s">
        <v>8972</v>
      </c>
      <c r="D352" s="44" t="s">
        <v>278</v>
      </c>
      <c r="E352" s="45" t="s">
        <v>953</v>
      </c>
      <c r="F352" s="54">
        <v>2866509.76</v>
      </c>
      <c r="G352" s="54">
        <v>1269666.72</v>
      </c>
      <c r="H352" s="54">
        <v>0</v>
      </c>
      <c r="I352" s="54">
        <v>0</v>
      </c>
      <c r="J352" s="54">
        <v>0</v>
      </c>
      <c r="K352" s="54">
        <v>0</v>
      </c>
      <c r="L352" s="54">
        <v>0</v>
      </c>
      <c r="M352" s="43"/>
      <c r="N352" s="54">
        <v>0</v>
      </c>
      <c r="O352" s="54">
        <v>0</v>
      </c>
      <c r="P352" s="54">
        <v>0</v>
      </c>
      <c r="Q352" s="54">
        <v>4136176.48</v>
      </c>
    </row>
    <row r="353" spans="1:17" ht="26.45">
      <c r="A353" s="47">
        <v>2024</v>
      </c>
      <c r="B353" s="50" t="s">
        <v>1411</v>
      </c>
      <c r="C353" s="50" t="s">
        <v>8972</v>
      </c>
      <c r="D353" s="47" t="s">
        <v>954</v>
      </c>
      <c r="E353" s="48" t="s">
        <v>955</v>
      </c>
      <c r="F353" s="53">
        <v>968.36</v>
      </c>
      <c r="G353" s="53">
        <v>0</v>
      </c>
      <c r="H353" s="53">
        <v>0</v>
      </c>
      <c r="I353" s="53">
        <v>0</v>
      </c>
      <c r="J353" s="53">
        <v>0</v>
      </c>
      <c r="K353" s="53">
        <v>0</v>
      </c>
      <c r="L353" s="53">
        <v>0</v>
      </c>
      <c r="M353" s="43"/>
      <c r="N353" s="53">
        <v>0</v>
      </c>
      <c r="O353" s="53">
        <v>0</v>
      </c>
      <c r="P353" s="53">
        <v>0</v>
      </c>
      <c r="Q353" s="53">
        <v>968.36</v>
      </c>
    </row>
    <row r="354" spans="1:17" ht="26.45">
      <c r="A354" s="44">
        <v>2024</v>
      </c>
      <c r="B354" s="46" t="s">
        <v>1411</v>
      </c>
      <c r="C354" s="46" t="s">
        <v>8972</v>
      </c>
      <c r="D354" s="44" t="s">
        <v>279</v>
      </c>
      <c r="E354" s="45" t="s">
        <v>956</v>
      </c>
      <c r="F354" s="54">
        <v>18036.32</v>
      </c>
      <c r="G354" s="54">
        <v>891.98</v>
      </c>
      <c r="H354" s="54">
        <v>0</v>
      </c>
      <c r="I354" s="54">
        <v>0</v>
      </c>
      <c r="J354" s="54">
        <v>0</v>
      </c>
      <c r="K354" s="54">
        <v>0</v>
      </c>
      <c r="L354" s="54">
        <v>0</v>
      </c>
      <c r="M354" s="43"/>
      <c r="N354" s="54">
        <v>0</v>
      </c>
      <c r="O354" s="54">
        <v>0</v>
      </c>
      <c r="P354" s="54">
        <v>0</v>
      </c>
      <c r="Q354" s="54">
        <v>18928.3</v>
      </c>
    </row>
    <row r="355" spans="1:17" ht="26.45">
      <c r="A355" s="47">
        <v>2024</v>
      </c>
      <c r="B355" s="50" t="s">
        <v>1411</v>
      </c>
      <c r="C355" s="50" t="s">
        <v>8972</v>
      </c>
      <c r="D355" s="47" t="s">
        <v>280</v>
      </c>
      <c r="E355" s="48" t="s">
        <v>957</v>
      </c>
      <c r="F355" s="53">
        <v>1147143.55</v>
      </c>
      <c r="G355" s="53">
        <v>408367.12</v>
      </c>
      <c r="H355" s="53">
        <v>0</v>
      </c>
      <c r="I355" s="53">
        <v>0</v>
      </c>
      <c r="J355" s="53">
        <v>0</v>
      </c>
      <c r="K355" s="53">
        <v>0</v>
      </c>
      <c r="L355" s="53">
        <v>0</v>
      </c>
      <c r="M355" s="43"/>
      <c r="N355" s="53">
        <v>0</v>
      </c>
      <c r="O355" s="53">
        <v>0</v>
      </c>
      <c r="P355" s="53">
        <v>0</v>
      </c>
      <c r="Q355" s="53">
        <v>1555510.67</v>
      </c>
    </row>
    <row r="356" spans="1:17" ht="26.45">
      <c r="A356" s="44">
        <v>2024</v>
      </c>
      <c r="B356" s="46" t="s">
        <v>1411</v>
      </c>
      <c r="C356" s="46" t="s">
        <v>8972</v>
      </c>
      <c r="D356" s="44" t="s">
        <v>281</v>
      </c>
      <c r="E356" s="45" t="s">
        <v>958</v>
      </c>
      <c r="F356" s="54">
        <v>1353712.69</v>
      </c>
      <c r="G356" s="54">
        <v>429988.24</v>
      </c>
      <c r="H356" s="54">
        <v>0</v>
      </c>
      <c r="I356" s="54">
        <v>0</v>
      </c>
      <c r="J356" s="54">
        <v>0</v>
      </c>
      <c r="K356" s="54">
        <v>0</v>
      </c>
      <c r="L356" s="54">
        <v>0</v>
      </c>
      <c r="M356" s="43"/>
      <c r="N356" s="54">
        <v>0</v>
      </c>
      <c r="O356" s="54">
        <v>0</v>
      </c>
      <c r="P356" s="54">
        <v>0</v>
      </c>
      <c r="Q356" s="54">
        <v>1783700.93</v>
      </c>
    </row>
    <row r="357" spans="1:17" ht="26.45">
      <c r="A357" s="47">
        <v>2024</v>
      </c>
      <c r="B357" s="50" t="s">
        <v>1411</v>
      </c>
      <c r="C357" s="50" t="s">
        <v>8972</v>
      </c>
      <c r="D357" s="47" t="s">
        <v>282</v>
      </c>
      <c r="E357" s="48" t="s">
        <v>959</v>
      </c>
      <c r="F357" s="53">
        <v>152926.15</v>
      </c>
      <c r="G357" s="53">
        <v>0</v>
      </c>
      <c r="H357" s="53">
        <v>0</v>
      </c>
      <c r="I357" s="53">
        <v>0</v>
      </c>
      <c r="J357" s="53">
        <v>0</v>
      </c>
      <c r="K357" s="53">
        <v>0</v>
      </c>
      <c r="L357" s="53">
        <v>0</v>
      </c>
      <c r="M357" s="43"/>
      <c r="N357" s="53">
        <v>0</v>
      </c>
      <c r="O357" s="53">
        <v>0</v>
      </c>
      <c r="P357" s="53">
        <v>0</v>
      </c>
      <c r="Q357" s="53">
        <v>152926.15</v>
      </c>
    </row>
    <row r="358" spans="1:17" ht="26.45">
      <c r="A358" s="44">
        <v>2024</v>
      </c>
      <c r="B358" s="46" t="s">
        <v>1411</v>
      </c>
      <c r="C358" s="46" t="s">
        <v>8972</v>
      </c>
      <c r="D358" s="44" t="s">
        <v>283</v>
      </c>
      <c r="E358" s="45" t="s">
        <v>960</v>
      </c>
      <c r="F358" s="54">
        <v>122645.82</v>
      </c>
      <c r="G358" s="54">
        <v>0</v>
      </c>
      <c r="H358" s="54">
        <v>0</v>
      </c>
      <c r="I358" s="54">
        <v>0</v>
      </c>
      <c r="J358" s="54">
        <v>0</v>
      </c>
      <c r="K358" s="54">
        <v>0</v>
      </c>
      <c r="L358" s="54">
        <v>0</v>
      </c>
      <c r="M358" s="43"/>
      <c r="N358" s="54">
        <v>0</v>
      </c>
      <c r="O358" s="54">
        <v>0</v>
      </c>
      <c r="P358" s="54">
        <v>0</v>
      </c>
      <c r="Q358" s="54">
        <v>122645.82</v>
      </c>
    </row>
    <row r="359" spans="1:17" ht="26.45">
      <c r="A359" s="47">
        <v>2024</v>
      </c>
      <c r="B359" s="50" t="s">
        <v>1411</v>
      </c>
      <c r="C359" s="50" t="s">
        <v>8972</v>
      </c>
      <c r="D359" s="47" t="s">
        <v>284</v>
      </c>
      <c r="E359" s="48" t="s">
        <v>961</v>
      </c>
      <c r="F359" s="53">
        <v>58446.12</v>
      </c>
      <c r="G359" s="53">
        <v>0</v>
      </c>
      <c r="H359" s="53">
        <v>0</v>
      </c>
      <c r="I359" s="53">
        <v>0</v>
      </c>
      <c r="J359" s="53">
        <v>0</v>
      </c>
      <c r="K359" s="53">
        <v>0</v>
      </c>
      <c r="L359" s="53">
        <v>0</v>
      </c>
      <c r="M359" s="43"/>
      <c r="N359" s="53">
        <v>0</v>
      </c>
      <c r="O359" s="53">
        <v>0</v>
      </c>
      <c r="P359" s="53">
        <v>0</v>
      </c>
      <c r="Q359" s="53">
        <v>58446.12</v>
      </c>
    </row>
    <row r="360" spans="1:17" ht="26.45">
      <c r="A360" s="44">
        <v>2024</v>
      </c>
      <c r="B360" s="46" t="s">
        <v>1411</v>
      </c>
      <c r="C360" s="46" t="s">
        <v>8972</v>
      </c>
      <c r="D360" s="44" t="s">
        <v>962</v>
      </c>
      <c r="E360" s="45" t="s">
        <v>963</v>
      </c>
      <c r="F360" s="54">
        <v>25982.97</v>
      </c>
      <c r="G360" s="54">
        <v>1191.72</v>
      </c>
      <c r="H360" s="54">
        <v>0</v>
      </c>
      <c r="I360" s="54">
        <v>0</v>
      </c>
      <c r="J360" s="54">
        <v>0</v>
      </c>
      <c r="K360" s="54">
        <v>0</v>
      </c>
      <c r="L360" s="54">
        <v>0</v>
      </c>
      <c r="M360" s="43"/>
      <c r="N360" s="54">
        <v>0</v>
      </c>
      <c r="O360" s="54">
        <v>0</v>
      </c>
      <c r="P360" s="54">
        <v>0</v>
      </c>
      <c r="Q360" s="54">
        <v>27174.69</v>
      </c>
    </row>
    <row r="361" spans="1:17" ht="26.45">
      <c r="A361" s="47">
        <v>2024</v>
      </c>
      <c r="B361" s="50" t="s">
        <v>1411</v>
      </c>
      <c r="C361" s="50" t="s">
        <v>8972</v>
      </c>
      <c r="D361" s="47" t="s">
        <v>285</v>
      </c>
      <c r="E361" s="48" t="s">
        <v>964</v>
      </c>
      <c r="F361" s="53">
        <v>198174.25</v>
      </c>
      <c r="G361" s="53">
        <v>157534.42000000001</v>
      </c>
      <c r="H361" s="53">
        <v>0</v>
      </c>
      <c r="I361" s="53">
        <v>0</v>
      </c>
      <c r="J361" s="53">
        <v>0</v>
      </c>
      <c r="K361" s="53">
        <v>0</v>
      </c>
      <c r="L361" s="53">
        <v>0</v>
      </c>
      <c r="M361" s="43"/>
      <c r="N361" s="53">
        <v>0</v>
      </c>
      <c r="O361" s="53">
        <v>0</v>
      </c>
      <c r="P361" s="53">
        <v>0</v>
      </c>
      <c r="Q361" s="53">
        <v>355708.67</v>
      </c>
    </row>
    <row r="362" spans="1:17" ht="26.45">
      <c r="A362" s="44">
        <v>2024</v>
      </c>
      <c r="B362" s="46" t="s">
        <v>1411</v>
      </c>
      <c r="C362" s="46" t="s">
        <v>8972</v>
      </c>
      <c r="D362" s="44" t="s">
        <v>286</v>
      </c>
      <c r="E362" s="45" t="s">
        <v>965</v>
      </c>
      <c r="F362" s="54">
        <v>240454.03</v>
      </c>
      <c r="G362" s="54">
        <v>36684.160000000003</v>
      </c>
      <c r="H362" s="54">
        <v>0</v>
      </c>
      <c r="I362" s="54">
        <v>0</v>
      </c>
      <c r="J362" s="54">
        <v>0</v>
      </c>
      <c r="K362" s="54">
        <v>0</v>
      </c>
      <c r="L362" s="54">
        <v>0</v>
      </c>
      <c r="M362" s="43"/>
      <c r="N362" s="54">
        <v>0</v>
      </c>
      <c r="O362" s="54">
        <v>0</v>
      </c>
      <c r="P362" s="54">
        <v>0</v>
      </c>
      <c r="Q362" s="54">
        <v>277138.19</v>
      </c>
    </row>
    <row r="363" spans="1:17" ht="26.45">
      <c r="A363" s="47">
        <v>2024</v>
      </c>
      <c r="B363" s="50" t="s">
        <v>1411</v>
      </c>
      <c r="C363" s="50" t="s">
        <v>8972</v>
      </c>
      <c r="D363" s="47" t="s">
        <v>287</v>
      </c>
      <c r="E363" s="48" t="s">
        <v>966</v>
      </c>
      <c r="F363" s="53">
        <v>152436.91</v>
      </c>
      <c r="G363" s="53">
        <v>22144.16</v>
      </c>
      <c r="H363" s="53">
        <v>0</v>
      </c>
      <c r="I363" s="53">
        <v>0</v>
      </c>
      <c r="J363" s="53">
        <v>0</v>
      </c>
      <c r="K363" s="53">
        <v>0</v>
      </c>
      <c r="L363" s="53">
        <v>0</v>
      </c>
      <c r="M363" s="43"/>
      <c r="N363" s="53">
        <v>0</v>
      </c>
      <c r="O363" s="53">
        <v>0</v>
      </c>
      <c r="P363" s="53">
        <v>0</v>
      </c>
      <c r="Q363" s="53">
        <v>174581.07</v>
      </c>
    </row>
    <row r="364" spans="1:17" ht="26.45">
      <c r="A364" s="44">
        <v>2024</v>
      </c>
      <c r="B364" s="46" t="s">
        <v>1411</v>
      </c>
      <c r="C364" s="46" t="s">
        <v>8972</v>
      </c>
      <c r="D364" s="44" t="s">
        <v>288</v>
      </c>
      <c r="E364" s="45" t="s">
        <v>967</v>
      </c>
      <c r="F364" s="54">
        <v>76403.56</v>
      </c>
      <c r="G364" s="54">
        <v>12984.27</v>
      </c>
      <c r="H364" s="54">
        <v>0</v>
      </c>
      <c r="I364" s="54">
        <v>0</v>
      </c>
      <c r="J364" s="54">
        <v>0</v>
      </c>
      <c r="K364" s="54">
        <v>0</v>
      </c>
      <c r="L364" s="54">
        <v>0</v>
      </c>
      <c r="M364" s="43"/>
      <c r="N364" s="54">
        <v>0</v>
      </c>
      <c r="O364" s="54">
        <v>0</v>
      </c>
      <c r="P364" s="54">
        <v>0</v>
      </c>
      <c r="Q364" s="54">
        <v>89387.83</v>
      </c>
    </row>
    <row r="365" spans="1:17" ht="26.45">
      <c r="A365" s="47">
        <v>2024</v>
      </c>
      <c r="B365" s="50" t="s">
        <v>1411</v>
      </c>
      <c r="C365" s="50" t="s">
        <v>8972</v>
      </c>
      <c r="D365" s="47" t="s">
        <v>289</v>
      </c>
      <c r="E365" s="48" t="s">
        <v>968</v>
      </c>
      <c r="F365" s="53">
        <v>163037.98000000001</v>
      </c>
      <c r="G365" s="53">
        <v>117026.89</v>
      </c>
      <c r="H365" s="53">
        <v>0</v>
      </c>
      <c r="I365" s="53">
        <v>0</v>
      </c>
      <c r="J365" s="53">
        <v>0</v>
      </c>
      <c r="K365" s="53">
        <v>0</v>
      </c>
      <c r="L365" s="53">
        <v>0</v>
      </c>
      <c r="M365" s="43"/>
      <c r="N365" s="53">
        <v>0</v>
      </c>
      <c r="O365" s="53">
        <v>0</v>
      </c>
      <c r="P365" s="53">
        <v>0</v>
      </c>
      <c r="Q365" s="53">
        <v>280064.87</v>
      </c>
    </row>
    <row r="366" spans="1:17" ht="26.45">
      <c r="A366" s="44">
        <v>2024</v>
      </c>
      <c r="B366" s="46" t="s">
        <v>1411</v>
      </c>
      <c r="C366" s="46" t="s">
        <v>8972</v>
      </c>
      <c r="D366" s="44" t="s">
        <v>290</v>
      </c>
      <c r="E366" s="45" t="s">
        <v>969</v>
      </c>
      <c r="F366" s="54">
        <v>75828.08</v>
      </c>
      <c r="G366" s="54">
        <v>33416.83</v>
      </c>
      <c r="H366" s="54">
        <v>0</v>
      </c>
      <c r="I366" s="54">
        <v>0</v>
      </c>
      <c r="J366" s="54">
        <v>0</v>
      </c>
      <c r="K366" s="54">
        <v>0</v>
      </c>
      <c r="L366" s="54">
        <v>0</v>
      </c>
      <c r="M366" s="43"/>
      <c r="N366" s="54">
        <v>0</v>
      </c>
      <c r="O366" s="54">
        <v>0</v>
      </c>
      <c r="P366" s="54">
        <v>0</v>
      </c>
      <c r="Q366" s="54">
        <v>109244.91</v>
      </c>
    </row>
    <row r="367" spans="1:17" ht="26.45">
      <c r="A367" s="47">
        <v>2024</v>
      </c>
      <c r="B367" s="50" t="s">
        <v>1411</v>
      </c>
      <c r="C367" s="50" t="s">
        <v>8972</v>
      </c>
      <c r="D367" s="47" t="s">
        <v>291</v>
      </c>
      <c r="E367" s="48" t="s">
        <v>970</v>
      </c>
      <c r="F367" s="53">
        <v>151950.99</v>
      </c>
      <c r="G367" s="53">
        <v>0</v>
      </c>
      <c r="H367" s="53">
        <v>0</v>
      </c>
      <c r="I367" s="53">
        <v>0</v>
      </c>
      <c r="J367" s="53">
        <v>0</v>
      </c>
      <c r="K367" s="53">
        <v>0</v>
      </c>
      <c r="L367" s="53">
        <v>0</v>
      </c>
      <c r="M367" s="43"/>
      <c r="N367" s="53">
        <v>0</v>
      </c>
      <c r="O367" s="53">
        <v>0</v>
      </c>
      <c r="P367" s="53">
        <v>0</v>
      </c>
      <c r="Q367" s="53">
        <v>151950.99</v>
      </c>
    </row>
    <row r="368" spans="1:17" ht="26.45">
      <c r="A368" s="44">
        <v>2024</v>
      </c>
      <c r="B368" s="46" t="s">
        <v>1411</v>
      </c>
      <c r="C368" s="46" t="s">
        <v>8972</v>
      </c>
      <c r="D368" s="44" t="s">
        <v>292</v>
      </c>
      <c r="E368" s="45" t="s">
        <v>971</v>
      </c>
      <c r="F368" s="54">
        <v>203020.95</v>
      </c>
      <c r="G368" s="54">
        <v>58662.080000000002</v>
      </c>
      <c r="H368" s="54">
        <v>0</v>
      </c>
      <c r="I368" s="54">
        <v>0</v>
      </c>
      <c r="J368" s="54">
        <v>0</v>
      </c>
      <c r="K368" s="54">
        <v>0</v>
      </c>
      <c r="L368" s="54">
        <v>0</v>
      </c>
      <c r="M368" s="43"/>
      <c r="N368" s="54">
        <v>0</v>
      </c>
      <c r="O368" s="54">
        <v>0</v>
      </c>
      <c r="P368" s="54">
        <v>0</v>
      </c>
      <c r="Q368" s="54">
        <v>261683.03</v>
      </c>
    </row>
    <row r="369" spans="1:17" ht="26.45">
      <c r="A369" s="47">
        <v>2024</v>
      </c>
      <c r="B369" s="50" t="s">
        <v>1411</v>
      </c>
      <c r="C369" s="50" t="s">
        <v>8972</v>
      </c>
      <c r="D369" s="47" t="s">
        <v>293</v>
      </c>
      <c r="E369" s="48" t="s">
        <v>972</v>
      </c>
      <c r="F369" s="53">
        <v>92187.3</v>
      </c>
      <c r="G369" s="53">
        <v>0</v>
      </c>
      <c r="H369" s="53">
        <v>0</v>
      </c>
      <c r="I369" s="53">
        <v>0</v>
      </c>
      <c r="J369" s="53">
        <v>0</v>
      </c>
      <c r="K369" s="53">
        <v>0</v>
      </c>
      <c r="L369" s="53">
        <v>0</v>
      </c>
      <c r="M369" s="43"/>
      <c r="N369" s="53">
        <v>0</v>
      </c>
      <c r="O369" s="53">
        <v>0</v>
      </c>
      <c r="P369" s="53">
        <v>0</v>
      </c>
      <c r="Q369" s="53">
        <v>92187.3</v>
      </c>
    </row>
    <row r="370" spans="1:17" ht="26.45">
      <c r="A370" s="44">
        <v>2024</v>
      </c>
      <c r="B370" s="46" t="s">
        <v>1411</v>
      </c>
      <c r="C370" s="46" t="s">
        <v>8972</v>
      </c>
      <c r="D370" s="44" t="s">
        <v>294</v>
      </c>
      <c r="E370" s="45" t="s">
        <v>973</v>
      </c>
      <c r="F370" s="54">
        <v>170199.29</v>
      </c>
      <c r="G370" s="54">
        <v>2094.29</v>
      </c>
      <c r="H370" s="54">
        <v>0</v>
      </c>
      <c r="I370" s="54">
        <v>0</v>
      </c>
      <c r="J370" s="54">
        <v>0</v>
      </c>
      <c r="K370" s="54">
        <v>0</v>
      </c>
      <c r="L370" s="54">
        <v>0</v>
      </c>
      <c r="M370" s="43"/>
      <c r="N370" s="54">
        <v>0</v>
      </c>
      <c r="O370" s="54">
        <v>0</v>
      </c>
      <c r="P370" s="54">
        <v>0</v>
      </c>
      <c r="Q370" s="54">
        <v>172293.58</v>
      </c>
    </row>
    <row r="371" spans="1:17" ht="26.45">
      <c r="A371" s="47">
        <v>2024</v>
      </c>
      <c r="B371" s="50" t="s">
        <v>1411</v>
      </c>
      <c r="C371" s="50" t="s">
        <v>8972</v>
      </c>
      <c r="D371" s="47" t="s">
        <v>295</v>
      </c>
      <c r="E371" s="48" t="s">
        <v>974</v>
      </c>
      <c r="F371" s="53">
        <v>187829.09</v>
      </c>
      <c r="G371" s="53">
        <v>1961.24</v>
      </c>
      <c r="H371" s="53">
        <v>0</v>
      </c>
      <c r="I371" s="53">
        <v>0</v>
      </c>
      <c r="J371" s="53">
        <v>0</v>
      </c>
      <c r="K371" s="53">
        <v>0</v>
      </c>
      <c r="L371" s="53">
        <v>0</v>
      </c>
      <c r="M371" s="43"/>
      <c r="N371" s="53">
        <v>0</v>
      </c>
      <c r="O371" s="53">
        <v>0</v>
      </c>
      <c r="P371" s="53">
        <v>0</v>
      </c>
      <c r="Q371" s="53">
        <v>189790.33</v>
      </c>
    </row>
    <row r="372" spans="1:17" ht="26.45">
      <c r="A372" s="44">
        <v>2024</v>
      </c>
      <c r="B372" s="46" t="s">
        <v>1411</v>
      </c>
      <c r="C372" s="46" t="s">
        <v>8972</v>
      </c>
      <c r="D372" s="44" t="s">
        <v>296</v>
      </c>
      <c r="E372" s="45" t="s">
        <v>975</v>
      </c>
      <c r="F372" s="54">
        <v>78340.47</v>
      </c>
      <c r="G372" s="54">
        <v>0</v>
      </c>
      <c r="H372" s="54">
        <v>0</v>
      </c>
      <c r="I372" s="54">
        <v>0</v>
      </c>
      <c r="J372" s="54">
        <v>0</v>
      </c>
      <c r="K372" s="54">
        <v>0</v>
      </c>
      <c r="L372" s="54">
        <v>0</v>
      </c>
      <c r="M372" s="43"/>
      <c r="N372" s="54">
        <v>0</v>
      </c>
      <c r="O372" s="54">
        <v>0</v>
      </c>
      <c r="P372" s="54">
        <v>0</v>
      </c>
      <c r="Q372" s="54">
        <v>78340.47</v>
      </c>
    </row>
    <row r="373" spans="1:17" ht="26.45">
      <c r="A373" s="47">
        <v>2024</v>
      </c>
      <c r="B373" s="50" t="s">
        <v>1411</v>
      </c>
      <c r="C373" s="50" t="s">
        <v>8972</v>
      </c>
      <c r="D373" s="47" t="s">
        <v>297</v>
      </c>
      <c r="E373" s="48" t="s">
        <v>976</v>
      </c>
      <c r="F373" s="53">
        <v>141783.16</v>
      </c>
      <c r="G373" s="53">
        <v>17070.21</v>
      </c>
      <c r="H373" s="53">
        <v>0</v>
      </c>
      <c r="I373" s="53">
        <v>0</v>
      </c>
      <c r="J373" s="53">
        <v>0</v>
      </c>
      <c r="K373" s="53">
        <v>0</v>
      </c>
      <c r="L373" s="53">
        <v>0</v>
      </c>
      <c r="M373" s="43"/>
      <c r="N373" s="53">
        <v>0</v>
      </c>
      <c r="O373" s="53">
        <v>0</v>
      </c>
      <c r="P373" s="53">
        <v>0</v>
      </c>
      <c r="Q373" s="53">
        <v>158853.37</v>
      </c>
    </row>
    <row r="374" spans="1:17" ht="26.45">
      <c r="A374" s="44">
        <v>2024</v>
      </c>
      <c r="B374" s="46" t="s">
        <v>1411</v>
      </c>
      <c r="C374" s="46" t="s">
        <v>8972</v>
      </c>
      <c r="D374" s="44" t="s">
        <v>977</v>
      </c>
      <c r="E374" s="45" t="s">
        <v>978</v>
      </c>
      <c r="F374" s="54">
        <v>92540.63</v>
      </c>
      <c r="G374" s="54">
        <v>15948.14</v>
      </c>
      <c r="H374" s="54">
        <v>0</v>
      </c>
      <c r="I374" s="54">
        <v>0</v>
      </c>
      <c r="J374" s="54">
        <v>0</v>
      </c>
      <c r="K374" s="54">
        <v>0</v>
      </c>
      <c r="L374" s="54">
        <v>0</v>
      </c>
      <c r="M374" s="43"/>
      <c r="N374" s="54">
        <v>0</v>
      </c>
      <c r="O374" s="54">
        <v>0</v>
      </c>
      <c r="P374" s="54">
        <v>0</v>
      </c>
      <c r="Q374" s="54">
        <v>108488.77</v>
      </c>
    </row>
    <row r="375" spans="1:17" ht="39.6">
      <c r="A375" s="47">
        <v>2024</v>
      </c>
      <c r="B375" s="50" t="s">
        <v>1411</v>
      </c>
      <c r="C375" s="50" t="s">
        <v>8972</v>
      </c>
      <c r="D375" s="47" t="s">
        <v>298</v>
      </c>
      <c r="E375" s="48" t="s">
        <v>979</v>
      </c>
      <c r="F375" s="53">
        <v>198860.38</v>
      </c>
      <c r="G375" s="53">
        <v>27216.14</v>
      </c>
      <c r="H375" s="53">
        <v>0</v>
      </c>
      <c r="I375" s="53">
        <v>0</v>
      </c>
      <c r="J375" s="53">
        <v>0</v>
      </c>
      <c r="K375" s="53">
        <v>0</v>
      </c>
      <c r="L375" s="53">
        <v>0</v>
      </c>
      <c r="M375" s="43"/>
      <c r="N375" s="53">
        <v>0</v>
      </c>
      <c r="O375" s="53">
        <v>0</v>
      </c>
      <c r="P375" s="53">
        <v>0</v>
      </c>
      <c r="Q375" s="53">
        <v>226076.52</v>
      </c>
    </row>
    <row r="376" spans="1:17" ht="26.45">
      <c r="A376" s="44">
        <v>2024</v>
      </c>
      <c r="B376" s="46" t="s">
        <v>1411</v>
      </c>
      <c r="C376" s="46" t="s">
        <v>8972</v>
      </c>
      <c r="D376" s="44" t="s">
        <v>299</v>
      </c>
      <c r="E376" s="45" t="s">
        <v>980</v>
      </c>
      <c r="F376" s="54">
        <v>100425.45</v>
      </c>
      <c r="G376" s="54">
        <v>42494.35</v>
      </c>
      <c r="H376" s="54">
        <v>0</v>
      </c>
      <c r="I376" s="54">
        <v>0</v>
      </c>
      <c r="J376" s="54">
        <v>0</v>
      </c>
      <c r="K376" s="54">
        <v>0</v>
      </c>
      <c r="L376" s="54">
        <v>0</v>
      </c>
      <c r="M376" s="43"/>
      <c r="N376" s="54">
        <v>0</v>
      </c>
      <c r="O376" s="54">
        <v>0</v>
      </c>
      <c r="P376" s="54">
        <v>0</v>
      </c>
      <c r="Q376" s="54">
        <v>142919.79999999999</v>
      </c>
    </row>
    <row r="377" spans="1:17" ht="26.45">
      <c r="A377" s="47">
        <v>2024</v>
      </c>
      <c r="B377" s="50" t="s">
        <v>1411</v>
      </c>
      <c r="C377" s="50" t="s">
        <v>8972</v>
      </c>
      <c r="D377" s="47" t="s">
        <v>300</v>
      </c>
      <c r="E377" s="48" t="s">
        <v>981</v>
      </c>
      <c r="F377" s="53">
        <v>218723.08</v>
      </c>
      <c r="G377" s="53">
        <v>159944.31</v>
      </c>
      <c r="H377" s="53">
        <v>0</v>
      </c>
      <c r="I377" s="53">
        <v>0</v>
      </c>
      <c r="J377" s="53">
        <v>0</v>
      </c>
      <c r="K377" s="53">
        <v>0</v>
      </c>
      <c r="L377" s="53">
        <v>0</v>
      </c>
      <c r="M377" s="43"/>
      <c r="N377" s="53">
        <v>0</v>
      </c>
      <c r="O377" s="53">
        <v>0</v>
      </c>
      <c r="P377" s="53">
        <v>0</v>
      </c>
      <c r="Q377" s="53">
        <v>378667.39</v>
      </c>
    </row>
    <row r="378" spans="1:17" ht="26.45">
      <c r="A378" s="44">
        <v>2024</v>
      </c>
      <c r="B378" s="46" t="s">
        <v>1411</v>
      </c>
      <c r="C378" s="46" t="s">
        <v>8972</v>
      </c>
      <c r="D378" s="44" t="s">
        <v>301</v>
      </c>
      <c r="E378" s="45" t="s">
        <v>982</v>
      </c>
      <c r="F378" s="54">
        <v>157685.57999999999</v>
      </c>
      <c r="G378" s="54">
        <v>6108</v>
      </c>
      <c r="H378" s="54">
        <v>0</v>
      </c>
      <c r="I378" s="54">
        <v>0</v>
      </c>
      <c r="J378" s="54">
        <v>0</v>
      </c>
      <c r="K378" s="54">
        <v>0</v>
      </c>
      <c r="L378" s="54">
        <v>0</v>
      </c>
      <c r="M378" s="43"/>
      <c r="N378" s="54">
        <v>0</v>
      </c>
      <c r="O378" s="54">
        <v>0</v>
      </c>
      <c r="P378" s="54">
        <v>0</v>
      </c>
      <c r="Q378" s="54">
        <v>163793.57999999999</v>
      </c>
    </row>
    <row r="379" spans="1:17" ht="26.45">
      <c r="A379" s="47">
        <v>2024</v>
      </c>
      <c r="B379" s="50" t="s">
        <v>1411</v>
      </c>
      <c r="C379" s="50" t="s">
        <v>8972</v>
      </c>
      <c r="D379" s="47" t="s">
        <v>302</v>
      </c>
      <c r="E379" s="48" t="s">
        <v>983</v>
      </c>
      <c r="F379" s="53">
        <v>323147.51</v>
      </c>
      <c r="G379" s="53">
        <v>193590.95</v>
      </c>
      <c r="H379" s="53">
        <v>0</v>
      </c>
      <c r="I379" s="53">
        <v>0</v>
      </c>
      <c r="J379" s="53">
        <v>0</v>
      </c>
      <c r="K379" s="53">
        <v>0</v>
      </c>
      <c r="L379" s="53">
        <v>0</v>
      </c>
      <c r="M379" s="43"/>
      <c r="N379" s="53">
        <v>0</v>
      </c>
      <c r="O379" s="53">
        <v>0</v>
      </c>
      <c r="P379" s="53">
        <v>0</v>
      </c>
      <c r="Q379" s="53">
        <v>516738.46</v>
      </c>
    </row>
    <row r="380" spans="1:17" ht="26.45">
      <c r="A380" s="44">
        <v>2024</v>
      </c>
      <c r="B380" s="46" t="s">
        <v>1411</v>
      </c>
      <c r="C380" s="46" t="s">
        <v>8972</v>
      </c>
      <c r="D380" s="44" t="s">
        <v>303</v>
      </c>
      <c r="E380" s="45" t="s">
        <v>984</v>
      </c>
      <c r="F380" s="54">
        <v>169191.81</v>
      </c>
      <c r="G380" s="54">
        <v>0</v>
      </c>
      <c r="H380" s="54">
        <v>0</v>
      </c>
      <c r="I380" s="54">
        <v>0</v>
      </c>
      <c r="J380" s="54">
        <v>0</v>
      </c>
      <c r="K380" s="54">
        <v>0</v>
      </c>
      <c r="L380" s="54">
        <v>0</v>
      </c>
      <c r="M380" s="43"/>
      <c r="N380" s="54">
        <v>0</v>
      </c>
      <c r="O380" s="54">
        <v>0</v>
      </c>
      <c r="P380" s="54">
        <v>0</v>
      </c>
      <c r="Q380" s="54">
        <v>169191.81</v>
      </c>
    </row>
    <row r="381" spans="1:17" ht="26.45">
      <c r="A381" s="47">
        <v>2024</v>
      </c>
      <c r="B381" s="50" t="s">
        <v>1411</v>
      </c>
      <c r="C381" s="50" t="s">
        <v>8972</v>
      </c>
      <c r="D381" s="47" t="s">
        <v>304</v>
      </c>
      <c r="E381" s="48" t="s">
        <v>985</v>
      </c>
      <c r="F381" s="53">
        <v>86560.3</v>
      </c>
      <c r="G381" s="53">
        <v>0</v>
      </c>
      <c r="H381" s="53">
        <v>0</v>
      </c>
      <c r="I381" s="53">
        <v>0</v>
      </c>
      <c r="J381" s="53">
        <v>0</v>
      </c>
      <c r="K381" s="53">
        <v>0</v>
      </c>
      <c r="L381" s="53">
        <v>0</v>
      </c>
      <c r="M381" s="43"/>
      <c r="N381" s="53">
        <v>0</v>
      </c>
      <c r="O381" s="53">
        <v>0</v>
      </c>
      <c r="P381" s="53">
        <v>0</v>
      </c>
      <c r="Q381" s="53">
        <v>86560.3</v>
      </c>
    </row>
    <row r="382" spans="1:17" ht="26.45">
      <c r="A382" s="44">
        <v>2024</v>
      </c>
      <c r="B382" s="46" t="s">
        <v>1411</v>
      </c>
      <c r="C382" s="46" t="s">
        <v>8972</v>
      </c>
      <c r="D382" s="44" t="s">
        <v>305</v>
      </c>
      <c r="E382" s="45" t="s">
        <v>986</v>
      </c>
      <c r="F382" s="54">
        <v>803566.84</v>
      </c>
      <c r="G382" s="54">
        <v>36179.699999999997</v>
      </c>
      <c r="H382" s="54">
        <v>0</v>
      </c>
      <c r="I382" s="54">
        <v>0</v>
      </c>
      <c r="J382" s="54">
        <v>0</v>
      </c>
      <c r="K382" s="54">
        <v>0</v>
      </c>
      <c r="L382" s="54">
        <v>0</v>
      </c>
      <c r="M382" s="43"/>
      <c r="N382" s="54">
        <v>0</v>
      </c>
      <c r="O382" s="54">
        <v>0</v>
      </c>
      <c r="P382" s="54">
        <v>0</v>
      </c>
      <c r="Q382" s="54">
        <v>839746.54</v>
      </c>
    </row>
    <row r="383" spans="1:17" ht="26.45">
      <c r="A383" s="47">
        <v>2024</v>
      </c>
      <c r="B383" s="50" t="s">
        <v>1411</v>
      </c>
      <c r="C383" s="50" t="s">
        <v>8972</v>
      </c>
      <c r="D383" s="47" t="s">
        <v>306</v>
      </c>
      <c r="E383" s="48" t="s">
        <v>987</v>
      </c>
      <c r="F383" s="53">
        <v>800000.12</v>
      </c>
      <c r="G383" s="53">
        <v>85349.55</v>
      </c>
      <c r="H383" s="53">
        <v>0</v>
      </c>
      <c r="I383" s="53">
        <v>0</v>
      </c>
      <c r="J383" s="53">
        <v>0</v>
      </c>
      <c r="K383" s="53">
        <v>0</v>
      </c>
      <c r="L383" s="53">
        <v>0</v>
      </c>
      <c r="M383" s="43"/>
      <c r="N383" s="53">
        <v>0</v>
      </c>
      <c r="O383" s="53">
        <v>0</v>
      </c>
      <c r="P383" s="53">
        <v>0</v>
      </c>
      <c r="Q383" s="53">
        <v>885349.67</v>
      </c>
    </row>
    <row r="384" spans="1:17" ht="26.45">
      <c r="A384" s="44">
        <v>2024</v>
      </c>
      <c r="B384" s="46" t="s">
        <v>1411</v>
      </c>
      <c r="C384" s="46" t="s">
        <v>8972</v>
      </c>
      <c r="D384" s="44" t="s">
        <v>988</v>
      </c>
      <c r="E384" s="45" t="s">
        <v>989</v>
      </c>
      <c r="F384" s="54">
        <v>12857.85</v>
      </c>
      <c r="G384" s="54">
        <v>1410</v>
      </c>
      <c r="H384" s="54">
        <v>0</v>
      </c>
      <c r="I384" s="54">
        <v>0</v>
      </c>
      <c r="J384" s="54">
        <v>0</v>
      </c>
      <c r="K384" s="54">
        <v>0</v>
      </c>
      <c r="L384" s="54">
        <v>0</v>
      </c>
      <c r="M384" s="43"/>
      <c r="N384" s="54">
        <v>0</v>
      </c>
      <c r="O384" s="54">
        <v>0</v>
      </c>
      <c r="P384" s="54">
        <v>0</v>
      </c>
      <c r="Q384" s="54">
        <v>14267.85</v>
      </c>
    </row>
    <row r="385" spans="1:17" ht="26.45">
      <c r="A385" s="47">
        <v>2024</v>
      </c>
      <c r="B385" s="50" t="s">
        <v>1411</v>
      </c>
      <c r="C385" s="50" t="s">
        <v>8972</v>
      </c>
      <c r="D385" s="47" t="s">
        <v>307</v>
      </c>
      <c r="E385" s="48" t="s">
        <v>990</v>
      </c>
      <c r="F385" s="53">
        <v>8899.07</v>
      </c>
      <c r="G385" s="53">
        <v>0</v>
      </c>
      <c r="H385" s="53">
        <v>0</v>
      </c>
      <c r="I385" s="53">
        <v>0</v>
      </c>
      <c r="J385" s="53">
        <v>0</v>
      </c>
      <c r="K385" s="53">
        <v>0</v>
      </c>
      <c r="L385" s="53">
        <v>0</v>
      </c>
      <c r="M385" s="43"/>
      <c r="N385" s="53">
        <v>0</v>
      </c>
      <c r="O385" s="53">
        <v>0</v>
      </c>
      <c r="P385" s="53">
        <v>0</v>
      </c>
      <c r="Q385" s="53">
        <v>8899.07</v>
      </c>
    </row>
    <row r="386" spans="1:17" ht="26.45">
      <c r="A386" s="44">
        <v>2024</v>
      </c>
      <c r="B386" s="46" t="s">
        <v>1411</v>
      </c>
      <c r="C386" s="46" t="s">
        <v>8972</v>
      </c>
      <c r="D386" s="44" t="s">
        <v>308</v>
      </c>
      <c r="E386" s="45" t="s">
        <v>991</v>
      </c>
      <c r="F386" s="54">
        <v>103541.57</v>
      </c>
      <c r="G386" s="54">
        <v>223.14</v>
      </c>
      <c r="H386" s="54">
        <v>0</v>
      </c>
      <c r="I386" s="54">
        <v>0</v>
      </c>
      <c r="J386" s="54">
        <v>0</v>
      </c>
      <c r="K386" s="54">
        <v>0</v>
      </c>
      <c r="L386" s="54">
        <v>0</v>
      </c>
      <c r="M386" s="43"/>
      <c r="N386" s="54">
        <v>0</v>
      </c>
      <c r="O386" s="54">
        <v>0</v>
      </c>
      <c r="P386" s="54">
        <v>0</v>
      </c>
      <c r="Q386" s="54">
        <v>103764.71</v>
      </c>
    </row>
    <row r="387" spans="1:17" ht="26.45">
      <c r="A387" s="47">
        <v>2024</v>
      </c>
      <c r="B387" s="50" t="s">
        <v>1411</v>
      </c>
      <c r="C387" s="50" t="s">
        <v>8972</v>
      </c>
      <c r="D387" s="47" t="s">
        <v>992</v>
      </c>
      <c r="E387" s="48" t="s">
        <v>993</v>
      </c>
      <c r="F387" s="53">
        <v>74818.460000000006</v>
      </c>
      <c r="G387" s="53">
        <v>477.51</v>
      </c>
      <c r="H387" s="53">
        <v>0</v>
      </c>
      <c r="I387" s="53">
        <v>0</v>
      </c>
      <c r="J387" s="53">
        <v>0</v>
      </c>
      <c r="K387" s="53">
        <v>0</v>
      </c>
      <c r="L387" s="53">
        <v>0</v>
      </c>
      <c r="M387" s="43"/>
      <c r="N387" s="53">
        <v>0</v>
      </c>
      <c r="O387" s="53">
        <v>0</v>
      </c>
      <c r="P387" s="53">
        <v>0</v>
      </c>
      <c r="Q387" s="53">
        <v>75295.97</v>
      </c>
    </row>
    <row r="388" spans="1:17" ht="26.45">
      <c r="A388" s="44">
        <v>2024</v>
      </c>
      <c r="B388" s="46" t="s">
        <v>1411</v>
      </c>
      <c r="C388" s="46" t="s">
        <v>8972</v>
      </c>
      <c r="D388" s="44" t="s">
        <v>309</v>
      </c>
      <c r="E388" s="45" t="s">
        <v>994</v>
      </c>
      <c r="F388" s="54">
        <v>1894869.93</v>
      </c>
      <c r="G388" s="54">
        <v>422564.54</v>
      </c>
      <c r="H388" s="54">
        <v>0</v>
      </c>
      <c r="I388" s="54">
        <v>0</v>
      </c>
      <c r="J388" s="54">
        <v>0</v>
      </c>
      <c r="K388" s="54">
        <v>0</v>
      </c>
      <c r="L388" s="54">
        <v>0</v>
      </c>
      <c r="M388" s="43"/>
      <c r="N388" s="54">
        <v>0</v>
      </c>
      <c r="O388" s="54">
        <v>0</v>
      </c>
      <c r="P388" s="54">
        <v>0</v>
      </c>
      <c r="Q388" s="54">
        <v>2317434.4700000002</v>
      </c>
    </row>
    <row r="389" spans="1:17" ht="26.45">
      <c r="A389" s="47">
        <v>2024</v>
      </c>
      <c r="B389" s="50" t="s">
        <v>1411</v>
      </c>
      <c r="C389" s="50" t="s">
        <v>8972</v>
      </c>
      <c r="D389" s="47" t="s">
        <v>310</v>
      </c>
      <c r="E389" s="48" t="s">
        <v>995</v>
      </c>
      <c r="F389" s="53">
        <v>17650.599999999999</v>
      </c>
      <c r="G389" s="53">
        <v>4852.16</v>
      </c>
      <c r="H389" s="53">
        <v>0</v>
      </c>
      <c r="I389" s="53">
        <v>0</v>
      </c>
      <c r="J389" s="53">
        <v>0</v>
      </c>
      <c r="K389" s="53">
        <v>0</v>
      </c>
      <c r="L389" s="53">
        <v>0</v>
      </c>
      <c r="M389" s="43"/>
      <c r="N389" s="53">
        <v>0</v>
      </c>
      <c r="O389" s="53">
        <v>0</v>
      </c>
      <c r="P389" s="53">
        <v>0</v>
      </c>
      <c r="Q389" s="53">
        <v>22502.76</v>
      </c>
    </row>
    <row r="390" spans="1:17" ht="26.45">
      <c r="A390" s="44">
        <v>2024</v>
      </c>
      <c r="B390" s="46" t="s">
        <v>1411</v>
      </c>
      <c r="C390" s="46" t="s">
        <v>8972</v>
      </c>
      <c r="D390" s="44" t="s">
        <v>311</v>
      </c>
      <c r="E390" s="45" t="s">
        <v>996</v>
      </c>
      <c r="F390" s="54">
        <v>80914.75</v>
      </c>
      <c r="G390" s="54">
        <v>73671.37</v>
      </c>
      <c r="H390" s="54">
        <v>0</v>
      </c>
      <c r="I390" s="54">
        <v>0</v>
      </c>
      <c r="J390" s="54">
        <v>0</v>
      </c>
      <c r="K390" s="54">
        <v>0</v>
      </c>
      <c r="L390" s="54">
        <v>0</v>
      </c>
      <c r="M390" s="43"/>
      <c r="N390" s="54">
        <v>0</v>
      </c>
      <c r="O390" s="54">
        <v>0</v>
      </c>
      <c r="P390" s="54">
        <v>0</v>
      </c>
      <c r="Q390" s="54">
        <v>154586.12</v>
      </c>
    </row>
    <row r="391" spans="1:17" ht="26.45">
      <c r="A391" s="47">
        <v>2024</v>
      </c>
      <c r="B391" s="50" t="s">
        <v>1411</v>
      </c>
      <c r="C391" s="50" t="s">
        <v>8972</v>
      </c>
      <c r="D391" s="47" t="s">
        <v>312</v>
      </c>
      <c r="E391" s="48" t="s">
        <v>997</v>
      </c>
      <c r="F391" s="53">
        <v>1053562.78</v>
      </c>
      <c r="G391" s="53">
        <v>516524.86</v>
      </c>
      <c r="H391" s="53">
        <v>0</v>
      </c>
      <c r="I391" s="53">
        <v>0</v>
      </c>
      <c r="J391" s="53">
        <v>0</v>
      </c>
      <c r="K391" s="53">
        <v>0</v>
      </c>
      <c r="L391" s="53">
        <v>0</v>
      </c>
      <c r="M391" s="43"/>
      <c r="N391" s="53">
        <v>0</v>
      </c>
      <c r="O391" s="53">
        <v>0</v>
      </c>
      <c r="P391" s="53">
        <v>0</v>
      </c>
      <c r="Q391" s="53">
        <v>1570087.64</v>
      </c>
    </row>
    <row r="392" spans="1:17" ht="26.45">
      <c r="A392" s="44">
        <v>2024</v>
      </c>
      <c r="B392" s="46" t="s">
        <v>1411</v>
      </c>
      <c r="C392" s="46" t="s">
        <v>8972</v>
      </c>
      <c r="D392" s="44" t="s">
        <v>313</v>
      </c>
      <c r="E392" s="45" t="s">
        <v>998</v>
      </c>
      <c r="F392" s="54">
        <v>1227028.32</v>
      </c>
      <c r="G392" s="54">
        <v>460288.38</v>
      </c>
      <c r="H392" s="54">
        <v>0</v>
      </c>
      <c r="I392" s="54">
        <v>0</v>
      </c>
      <c r="J392" s="54">
        <v>0</v>
      </c>
      <c r="K392" s="54">
        <v>0</v>
      </c>
      <c r="L392" s="54">
        <v>0</v>
      </c>
      <c r="M392" s="43"/>
      <c r="N392" s="54">
        <v>0</v>
      </c>
      <c r="O392" s="54">
        <v>0</v>
      </c>
      <c r="P392" s="54">
        <v>0</v>
      </c>
      <c r="Q392" s="54">
        <v>1687316.7</v>
      </c>
    </row>
    <row r="393" spans="1:17" ht="26.45">
      <c r="A393" s="47">
        <v>2024</v>
      </c>
      <c r="B393" s="50" t="s">
        <v>1411</v>
      </c>
      <c r="C393" s="50" t="s">
        <v>8972</v>
      </c>
      <c r="D393" s="47" t="s">
        <v>1001</v>
      </c>
      <c r="E393" s="48" t="s">
        <v>1002</v>
      </c>
      <c r="F393" s="53">
        <v>76768.460000000006</v>
      </c>
      <c r="G393" s="53">
        <v>24560.23</v>
      </c>
      <c r="H393" s="53">
        <v>0</v>
      </c>
      <c r="I393" s="53">
        <v>0</v>
      </c>
      <c r="J393" s="53">
        <v>0</v>
      </c>
      <c r="K393" s="53">
        <v>0</v>
      </c>
      <c r="L393" s="53">
        <v>0</v>
      </c>
      <c r="M393" s="43"/>
      <c r="N393" s="53">
        <v>0</v>
      </c>
      <c r="O393" s="53">
        <v>0</v>
      </c>
      <c r="P393" s="53">
        <v>0</v>
      </c>
      <c r="Q393" s="53">
        <v>101328.69</v>
      </c>
    </row>
    <row r="394" spans="1:17" ht="26.45">
      <c r="A394" s="44">
        <v>2024</v>
      </c>
      <c r="B394" s="46" t="s">
        <v>1411</v>
      </c>
      <c r="C394" s="46" t="s">
        <v>8972</v>
      </c>
      <c r="D394" s="44" t="s">
        <v>999</v>
      </c>
      <c r="E394" s="45" t="s">
        <v>1000</v>
      </c>
      <c r="F394" s="54">
        <v>45873.8</v>
      </c>
      <c r="G394" s="54">
        <v>6603.05</v>
      </c>
      <c r="H394" s="54">
        <v>0</v>
      </c>
      <c r="I394" s="54">
        <v>0</v>
      </c>
      <c r="J394" s="54">
        <v>0</v>
      </c>
      <c r="K394" s="54">
        <v>0</v>
      </c>
      <c r="L394" s="54">
        <v>0</v>
      </c>
      <c r="M394" s="43"/>
      <c r="N394" s="54">
        <v>0</v>
      </c>
      <c r="O394" s="54">
        <v>0</v>
      </c>
      <c r="P394" s="54">
        <v>0</v>
      </c>
      <c r="Q394" s="54">
        <v>52476.85</v>
      </c>
    </row>
    <row r="395" spans="1:17" ht="26.45">
      <c r="A395" s="47">
        <v>2024</v>
      </c>
      <c r="B395" s="50" t="s">
        <v>1411</v>
      </c>
      <c r="C395" s="50" t="s">
        <v>8972</v>
      </c>
      <c r="D395" s="47" t="s">
        <v>314</v>
      </c>
      <c r="E395" s="48" t="s">
        <v>1003</v>
      </c>
      <c r="F395" s="53">
        <v>30000.61</v>
      </c>
      <c r="G395" s="53">
        <v>0</v>
      </c>
      <c r="H395" s="53">
        <v>0</v>
      </c>
      <c r="I395" s="53">
        <v>0</v>
      </c>
      <c r="J395" s="53">
        <v>0</v>
      </c>
      <c r="K395" s="53">
        <v>0</v>
      </c>
      <c r="L395" s="53">
        <v>0</v>
      </c>
      <c r="M395" s="43"/>
      <c r="N395" s="53">
        <v>0</v>
      </c>
      <c r="O395" s="53">
        <v>0</v>
      </c>
      <c r="P395" s="53">
        <v>0</v>
      </c>
      <c r="Q395" s="53">
        <v>30000.61</v>
      </c>
    </row>
    <row r="396" spans="1:17" ht="26.45">
      <c r="A396" s="44">
        <v>2024</v>
      </c>
      <c r="B396" s="46" t="s">
        <v>1411</v>
      </c>
      <c r="C396" s="46" t="s">
        <v>8972</v>
      </c>
      <c r="D396" s="44" t="s">
        <v>315</v>
      </c>
      <c r="E396" s="45" t="s">
        <v>1004</v>
      </c>
      <c r="F396" s="54">
        <v>167933.61</v>
      </c>
      <c r="G396" s="54">
        <v>23940.35</v>
      </c>
      <c r="H396" s="54">
        <v>0</v>
      </c>
      <c r="I396" s="54">
        <v>0</v>
      </c>
      <c r="J396" s="54">
        <v>0</v>
      </c>
      <c r="K396" s="54">
        <v>0</v>
      </c>
      <c r="L396" s="54">
        <v>0</v>
      </c>
      <c r="M396" s="43"/>
      <c r="N396" s="54">
        <v>0</v>
      </c>
      <c r="O396" s="54">
        <v>0</v>
      </c>
      <c r="P396" s="54">
        <v>0</v>
      </c>
      <c r="Q396" s="54">
        <v>191873.96</v>
      </c>
    </row>
    <row r="397" spans="1:17" ht="26.45">
      <c r="A397" s="47">
        <v>2024</v>
      </c>
      <c r="B397" s="50" t="s">
        <v>1411</v>
      </c>
      <c r="C397" s="50" t="s">
        <v>8972</v>
      </c>
      <c r="D397" s="47" t="s">
        <v>316</v>
      </c>
      <c r="E397" s="48" t="s">
        <v>1005</v>
      </c>
      <c r="F397" s="53">
        <v>2688567.35</v>
      </c>
      <c r="G397" s="53">
        <v>159026.88</v>
      </c>
      <c r="H397" s="53">
        <v>0</v>
      </c>
      <c r="I397" s="53">
        <v>0</v>
      </c>
      <c r="J397" s="53">
        <v>0</v>
      </c>
      <c r="K397" s="53">
        <v>0</v>
      </c>
      <c r="L397" s="53">
        <v>0</v>
      </c>
      <c r="M397" s="43"/>
      <c r="N397" s="53">
        <v>0</v>
      </c>
      <c r="O397" s="53">
        <v>0</v>
      </c>
      <c r="P397" s="53">
        <v>0</v>
      </c>
      <c r="Q397" s="53">
        <v>2847594.23</v>
      </c>
    </row>
    <row r="398" spans="1:17" ht="66">
      <c r="A398" s="44">
        <v>2024</v>
      </c>
      <c r="B398" s="46" t="s">
        <v>1411</v>
      </c>
      <c r="C398" s="46" t="s">
        <v>8972</v>
      </c>
      <c r="D398" s="44" t="s">
        <v>1006</v>
      </c>
      <c r="E398" s="45" t="s">
        <v>1007</v>
      </c>
      <c r="F398" s="54">
        <v>58608.19</v>
      </c>
      <c r="G398" s="54">
        <v>4741.9399999999996</v>
      </c>
      <c r="H398" s="54">
        <v>0</v>
      </c>
      <c r="I398" s="54">
        <v>0</v>
      </c>
      <c r="J398" s="54">
        <v>0</v>
      </c>
      <c r="K398" s="54">
        <v>0</v>
      </c>
      <c r="L398" s="54">
        <v>0</v>
      </c>
      <c r="M398" s="43"/>
      <c r="N398" s="54">
        <v>0</v>
      </c>
      <c r="O398" s="54">
        <v>0</v>
      </c>
      <c r="P398" s="54">
        <v>0</v>
      </c>
      <c r="Q398" s="54">
        <v>63350.13</v>
      </c>
    </row>
    <row r="399" spans="1:17" ht="39.6">
      <c r="A399" s="47">
        <v>2024</v>
      </c>
      <c r="B399" s="50" t="s">
        <v>1411</v>
      </c>
      <c r="C399" s="50" t="s">
        <v>8972</v>
      </c>
      <c r="D399" s="47" t="s">
        <v>1008</v>
      </c>
      <c r="E399" s="48" t="s">
        <v>1009</v>
      </c>
      <c r="F399" s="53">
        <v>26524.94</v>
      </c>
      <c r="G399" s="53">
        <v>0</v>
      </c>
      <c r="H399" s="53">
        <v>0</v>
      </c>
      <c r="I399" s="53">
        <v>0</v>
      </c>
      <c r="J399" s="53">
        <v>0</v>
      </c>
      <c r="K399" s="53">
        <v>0</v>
      </c>
      <c r="L399" s="53">
        <v>0</v>
      </c>
      <c r="M399" s="43"/>
      <c r="N399" s="53">
        <v>0</v>
      </c>
      <c r="O399" s="53">
        <v>0</v>
      </c>
      <c r="P399" s="53">
        <v>0</v>
      </c>
      <c r="Q399" s="53">
        <v>26524.94</v>
      </c>
    </row>
    <row r="400" spans="1:17" ht="26.45">
      <c r="A400" s="44">
        <v>2024</v>
      </c>
      <c r="B400" s="46" t="s">
        <v>1411</v>
      </c>
      <c r="C400" s="46" t="s">
        <v>8972</v>
      </c>
      <c r="D400" s="44" t="s">
        <v>1010</v>
      </c>
      <c r="E400" s="45" t="s">
        <v>1011</v>
      </c>
      <c r="F400" s="54">
        <v>111210.67</v>
      </c>
      <c r="G400" s="54">
        <v>95139.83</v>
      </c>
      <c r="H400" s="54">
        <v>0</v>
      </c>
      <c r="I400" s="54">
        <v>0</v>
      </c>
      <c r="J400" s="54">
        <v>0</v>
      </c>
      <c r="K400" s="54">
        <v>0</v>
      </c>
      <c r="L400" s="54">
        <v>0</v>
      </c>
      <c r="M400" s="43"/>
      <c r="N400" s="54">
        <v>0</v>
      </c>
      <c r="O400" s="54">
        <v>0</v>
      </c>
      <c r="P400" s="54">
        <v>0</v>
      </c>
      <c r="Q400" s="54">
        <v>206350.5</v>
      </c>
    </row>
    <row r="401" spans="1:17" ht="26.45">
      <c r="A401" s="47">
        <v>2024</v>
      </c>
      <c r="B401" s="50" t="s">
        <v>1411</v>
      </c>
      <c r="C401" s="50" t="s">
        <v>8972</v>
      </c>
      <c r="D401" s="47" t="s">
        <v>1012</v>
      </c>
      <c r="E401" s="48" t="s">
        <v>1013</v>
      </c>
      <c r="F401" s="53">
        <v>28286.46</v>
      </c>
      <c r="G401" s="53">
        <v>0</v>
      </c>
      <c r="H401" s="53">
        <v>0</v>
      </c>
      <c r="I401" s="53">
        <v>0</v>
      </c>
      <c r="J401" s="53">
        <v>0</v>
      </c>
      <c r="K401" s="53">
        <v>0</v>
      </c>
      <c r="L401" s="53">
        <v>0</v>
      </c>
      <c r="M401" s="43"/>
      <c r="N401" s="53">
        <v>0</v>
      </c>
      <c r="O401" s="53">
        <v>0</v>
      </c>
      <c r="P401" s="53">
        <v>0</v>
      </c>
      <c r="Q401" s="53">
        <v>28286.46</v>
      </c>
    </row>
    <row r="402" spans="1:17" ht="26.45">
      <c r="A402" s="44">
        <v>2024</v>
      </c>
      <c r="B402" s="46" t="s">
        <v>1411</v>
      </c>
      <c r="C402" s="46" t="s">
        <v>8972</v>
      </c>
      <c r="D402" s="44" t="s">
        <v>317</v>
      </c>
      <c r="E402" s="45" t="s">
        <v>1014</v>
      </c>
      <c r="F402" s="54">
        <v>1419477.56</v>
      </c>
      <c r="G402" s="54">
        <v>769910.98</v>
      </c>
      <c r="H402" s="54">
        <v>0</v>
      </c>
      <c r="I402" s="54">
        <v>0</v>
      </c>
      <c r="J402" s="54">
        <v>0</v>
      </c>
      <c r="K402" s="54">
        <v>0</v>
      </c>
      <c r="L402" s="54">
        <v>0</v>
      </c>
      <c r="M402" s="43"/>
      <c r="N402" s="54">
        <v>0</v>
      </c>
      <c r="O402" s="54">
        <v>0</v>
      </c>
      <c r="P402" s="54">
        <v>0</v>
      </c>
      <c r="Q402" s="54">
        <v>2189388.54</v>
      </c>
    </row>
    <row r="403" spans="1:17" ht="26.45">
      <c r="A403" s="47">
        <v>2024</v>
      </c>
      <c r="B403" s="50" t="s">
        <v>1411</v>
      </c>
      <c r="C403" s="50" t="s">
        <v>8972</v>
      </c>
      <c r="D403" s="47" t="s">
        <v>318</v>
      </c>
      <c r="E403" s="48" t="s">
        <v>1015</v>
      </c>
      <c r="F403" s="53">
        <v>45950.64</v>
      </c>
      <c r="G403" s="53">
        <v>0</v>
      </c>
      <c r="H403" s="53">
        <v>0</v>
      </c>
      <c r="I403" s="53">
        <v>0</v>
      </c>
      <c r="J403" s="53">
        <v>0</v>
      </c>
      <c r="K403" s="53">
        <v>0</v>
      </c>
      <c r="L403" s="53">
        <v>0</v>
      </c>
      <c r="M403" s="43"/>
      <c r="N403" s="53">
        <v>0</v>
      </c>
      <c r="O403" s="53">
        <v>0</v>
      </c>
      <c r="P403" s="53">
        <v>0</v>
      </c>
      <c r="Q403" s="53">
        <v>45950.64</v>
      </c>
    </row>
    <row r="404" spans="1:17" ht="52.9">
      <c r="A404" s="44">
        <v>2024</v>
      </c>
      <c r="B404" s="46" t="s">
        <v>1411</v>
      </c>
      <c r="C404" s="46" t="s">
        <v>8972</v>
      </c>
      <c r="D404" s="44" t="s">
        <v>1016</v>
      </c>
      <c r="E404" s="45" t="s">
        <v>1017</v>
      </c>
      <c r="F404" s="54">
        <v>34066.17</v>
      </c>
      <c r="G404" s="54">
        <v>1936.65</v>
      </c>
      <c r="H404" s="54">
        <v>0</v>
      </c>
      <c r="I404" s="54">
        <v>0</v>
      </c>
      <c r="J404" s="54">
        <v>0</v>
      </c>
      <c r="K404" s="54">
        <v>0</v>
      </c>
      <c r="L404" s="54">
        <v>0</v>
      </c>
      <c r="M404" s="43"/>
      <c r="N404" s="54">
        <v>0</v>
      </c>
      <c r="O404" s="54">
        <v>0</v>
      </c>
      <c r="P404" s="54">
        <v>0</v>
      </c>
      <c r="Q404" s="54">
        <v>36002.82</v>
      </c>
    </row>
    <row r="405" spans="1:17" ht="26.45">
      <c r="A405" s="47">
        <v>2024</v>
      </c>
      <c r="B405" s="50" t="s">
        <v>1411</v>
      </c>
      <c r="C405" s="50" t="s">
        <v>8972</v>
      </c>
      <c r="D405" s="47" t="s">
        <v>319</v>
      </c>
      <c r="E405" s="48" t="s">
        <v>1018</v>
      </c>
      <c r="F405" s="53">
        <v>167143.99</v>
      </c>
      <c r="G405" s="53">
        <v>2895.15</v>
      </c>
      <c r="H405" s="53">
        <v>0</v>
      </c>
      <c r="I405" s="53">
        <v>0</v>
      </c>
      <c r="J405" s="53">
        <v>0</v>
      </c>
      <c r="K405" s="53">
        <v>0</v>
      </c>
      <c r="L405" s="53">
        <v>0</v>
      </c>
      <c r="M405" s="43"/>
      <c r="N405" s="53">
        <v>0</v>
      </c>
      <c r="O405" s="53">
        <v>0</v>
      </c>
      <c r="P405" s="53">
        <v>0</v>
      </c>
      <c r="Q405" s="53">
        <v>170039.14</v>
      </c>
    </row>
    <row r="406" spans="1:17" ht="26.45">
      <c r="A406" s="44">
        <v>2024</v>
      </c>
      <c r="B406" s="46" t="s">
        <v>1411</v>
      </c>
      <c r="C406" s="46" t="s">
        <v>8972</v>
      </c>
      <c r="D406" s="44" t="s">
        <v>320</v>
      </c>
      <c r="E406" s="45" t="s">
        <v>1019</v>
      </c>
      <c r="F406" s="54">
        <v>88434.17</v>
      </c>
      <c r="G406" s="54">
        <v>106.68</v>
      </c>
      <c r="H406" s="54">
        <v>0</v>
      </c>
      <c r="I406" s="54">
        <v>0</v>
      </c>
      <c r="J406" s="54">
        <v>0</v>
      </c>
      <c r="K406" s="54">
        <v>0</v>
      </c>
      <c r="L406" s="54">
        <v>0</v>
      </c>
      <c r="M406" s="43"/>
      <c r="N406" s="54">
        <v>0</v>
      </c>
      <c r="O406" s="54">
        <v>0</v>
      </c>
      <c r="P406" s="54">
        <v>0</v>
      </c>
      <c r="Q406" s="54">
        <v>88540.85</v>
      </c>
    </row>
    <row r="407" spans="1:17" ht="26.45">
      <c r="A407" s="47">
        <v>2024</v>
      </c>
      <c r="B407" s="50" t="s">
        <v>1411</v>
      </c>
      <c r="C407" s="50" t="s">
        <v>8972</v>
      </c>
      <c r="D407" s="47" t="s">
        <v>321</v>
      </c>
      <c r="E407" s="48" t="s">
        <v>1020</v>
      </c>
      <c r="F407" s="53">
        <v>117011.61</v>
      </c>
      <c r="G407" s="53">
        <v>0</v>
      </c>
      <c r="H407" s="53">
        <v>0</v>
      </c>
      <c r="I407" s="53">
        <v>0</v>
      </c>
      <c r="J407" s="53">
        <v>0</v>
      </c>
      <c r="K407" s="53">
        <v>0</v>
      </c>
      <c r="L407" s="53">
        <v>0</v>
      </c>
      <c r="M407" s="43"/>
      <c r="N407" s="53">
        <v>0</v>
      </c>
      <c r="O407" s="53">
        <v>0</v>
      </c>
      <c r="P407" s="53">
        <v>0</v>
      </c>
      <c r="Q407" s="53">
        <v>117011.61</v>
      </c>
    </row>
    <row r="408" spans="1:17" ht="26.45">
      <c r="A408" s="44">
        <v>2024</v>
      </c>
      <c r="B408" s="46" t="s">
        <v>1411</v>
      </c>
      <c r="C408" s="46" t="s">
        <v>8972</v>
      </c>
      <c r="D408" s="44" t="s">
        <v>322</v>
      </c>
      <c r="E408" s="45" t="s">
        <v>1021</v>
      </c>
      <c r="F408" s="54">
        <v>146438.31</v>
      </c>
      <c r="G408" s="54">
        <v>19868.22</v>
      </c>
      <c r="H408" s="54">
        <v>0</v>
      </c>
      <c r="I408" s="54">
        <v>0</v>
      </c>
      <c r="J408" s="54">
        <v>0</v>
      </c>
      <c r="K408" s="54">
        <v>0</v>
      </c>
      <c r="L408" s="54">
        <v>0</v>
      </c>
      <c r="M408" s="43"/>
      <c r="N408" s="54">
        <v>0</v>
      </c>
      <c r="O408" s="54">
        <v>0</v>
      </c>
      <c r="P408" s="54">
        <v>0</v>
      </c>
      <c r="Q408" s="54">
        <v>166306.53</v>
      </c>
    </row>
    <row r="409" spans="1:17" ht="39.6">
      <c r="A409" s="47">
        <v>2024</v>
      </c>
      <c r="B409" s="50" t="s">
        <v>1411</v>
      </c>
      <c r="C409" s="50" t="s">
        <v>8972</v>
      </c>
      <c r="D409" s="47" t="s">
        <v>1022</v>
      </c>
      <c r="E409" s="48" t="s">
        <v>1023</v>
      </c>
      <c r="F409" s="53">
        <v>39750.22</v>
      </c>
      <c r="G409" s="53">
        <v>779.45</v>
      </c>
      <c r="H409" s="53">
        <v>0</v>
      </c>
      <c r="I409" s="53">
        <v>0</v>
      </c>
      <c r="J409" s="53">
        <v>0</v>
      </c>
      <c r="K409" s="53">
        <v>0</v>
      </c>
      <c r="L409" s="53">
        <v>0</v>
      </c>
      <c r="M409" s="43"/>
      <c r="N409" s="53">
        <v>0</v>
      </c>
      <c r="O409" s="53">
        <v>0</v>
      </c>
      <c r="P409" s="53">
        <v>0</v>
      </c>
      <c r="Q409" s="53">
        <v>40529.67</v>
      </c>
    </row>
    <row r="410" spans="1:17" ht="26.45">
      <c r="A410" s="44">
        <v>2024</v>
      </c>
      <c r="B410" s="46" t="s">
        <v>1411</v>
      </c>
      <c r="C410" s="46" t="s">
        <v>8972</v>
      </c>
      <c r="D410" s="44" t="s">
        <v>323</v>
      </c>
      <c r="E410" s="45" t="s">
        <v>1024</v>
      </c>
      <c r="F410" s="54">
        <v>42906.61</v>
      </c>
      <c r="G410" s="54">
        <v>42858.69</v>
      </c>
      <c r="H410" s="54">
        <v>0</v>
      </c>
      <c r="I410" s="54">
        <v>0</v>
      </c>
      <c r="J410" s="54">
        <v>0</v>
      </c>
      <c r="K410" s="54">
        <v>0</v>
      </c>
      <c r="L410" s="54">
        <v>0</v>
      </c>
      <c r="M410" s="43"/>
      <c r="N410" s="54">
        <v>0</v>
      </c>
      <c r="O410" s="54">
        <v>0</v>
      </c>
      <c r="P410" s="54">
        <v>0</v>
      </c>
      <c r="Q410" s="54">
        <v>85765.3</v>
      </c>
    </row>
    <row r="411" spans="1:17" ht="26.45">
      <c r="A411" s="47">
        <v>2024</v>
      </c>
      <c r="B411" s="50" t="s">
        <v>1411</v>
      </c>
      <c r="C411" s="50" t="s">
        <v>8972</v>
      </c>
      <c r="D411" s="47" t="s">
        <v>324</v>
      </c>
      <c r="E411" s="48" t="s">
        <v>1025</v>
      </c>
      <c r="F411" s="53">
        <v>16080.6</v>
      </c>
      <c r="G411" s="53">
        <v>0</v>
      </c>
      <c r="H411" s="53">
        <v>0</v>
      </c>
      <c r="I411" s="53">
        <v>0</v>
      </c>
      <c r="J411" s="53">
        <v>0</v>
      </c>
      <c r="K411" s="53">
        <v>0</v>
      </c>
      <c r="L411" s="53">
        <v>0</v>
      </c>
      <c r="M411" s="43"/>
      <c r="N411" s="53">
        <v>0</v>
      </c>
      <c r="O411" s="53">
        <v>0</v>
      </c>
      <c r="P411" s="53">
        <v>0</v>
      </c>
      <c r="Q411" s="53">
        <v>16080.6</v>
      </c>
    </row>
    <row r="412" spans="1:17" ht="26.45">
      <c r="A412" s="44">
        <v>2024</v>
      </c>
      <c r="B412" s="46" t="s">
        <v>1411</v>
      </c>
      <c r="C412" s="46" t="s">
        <v>8972</v>
      </c>
      <c r="D412" s="44" t="s">
        <v>325</v>
      </c>
      <c r="E412" s="45" t="s">
        <v>1026</v>
      </c>
      <c r="F412" s="54">
        <v>12030239.210000001</v>
      </c>
      <c r="G412" s="54">
        <v>8062891.5199999996</v>
      </c>
      <c r="H412" s="54">
        <v>0</v>
      </c>
      <c r="I412" s="54">
        <v>0</v>
      </c>
      <c r="J412" s="54">
        <v>0</v>
      </c>
      <c r="K412" s="54">
        <v>0</v>
      </c>
      <c r="L412" s="54">
        <v>0</v>
      </c>
      <c r="M412" s="43"/>
      <c r="N412" s="54">
        <v>0</v>
      </c>
      <c r="O412" s="54">
        <v>0</v>
      </c>
      <c r="P412" s="54">
        <v>0</v>
      </c>
      <c r="Q412" s="54">
        <v>20093130.73</v>
      </c>
    </row>
    <row r="413" spans="1:17" ht="26.45">
      <c r="A413" s="47">
        <v>2024</v>
      </c>
      <c r="B413" s="50" t="s">
        <v>1411</v>
      </c>
      <c r="C413" s="50" t="s">
        <v>8972</v>
      </c>
      <c r="D413" s="47" t="s">
        <v>1027</v>
      </c>
      <c r="E413" s="48" t="s">
        <v>1028</v>
      </c>
      <c r="F413" s="53">
        <v>32096.99</v>
      </c>
      <c r="G413" s="53">
        <v>0</v>
      </c>
      <c r="H413" s="53">
        <v>0</v>
      </c>
      <c r="I413" s="53">
        <v>0</v>
      </c>
      <c r="J413" s="53">
        <v>0</v>
      </c>
      <c r="K413" s="53">
        <v>0</v>
      </c>
      <c r="L413" s="53">
        <v>0</v>
      </c>
      <c r="M413" s="43"/>
      <c r="N413" s="53">
        <v>0</v>
      </c>
      <c r="O413" s="53">
        <v>0</v>
      </c>
      <c r="P413" s="53">
        <v>0</v>
      </c>
      <c r="Q413" s="53">
        <v>32096.99</v>
      </c>
    </row>
    <row r="414" spans="1:17" ht="26.45">
      <c r="A414" s="44">
        <v>2024</v>
      </c>
      <c r="B414" s="46" t="s">
        <v>1411</v>
      </c>
      <c r="C414" s="46" t="s">
        <v>8972</v>
      </c>
      <c r="D414" s="44" t="s">
        <v>326</v>
      </c>
      <c r="E414" s="45" t="s">
        <v>1029</v>
      </c>
      <c r="F414" s="54">
        <v>35567.75</v>
      </c>
      <c r="G414" s="54">
        <v>0</v>
      </c>
      <c r="H414" s="54">
        <v>0</v>
      </c>
      <c r="I414" s="54">
        <v>0</v>
      </c>
      <c r="J414" s="54">
        <v>0</v>
      </c>
      <c r="K414" s="54">
        <v>0</v>
      </c>
      <c r="L414" s="54">
        <v>0</v>
      </c>
      <c r="M414" s="43"/>
      <c r="N414" s="54">
        <v>0</v>
      </c>
      <c r="O414" s="54">
        <v>0</v>
      </c>
      <c r="P414" s="54">
        <v>0</v>
      </c>
      <c r="Q414" s="54">
        <v>35567.75</v>
      </c>
    </row>
    <row r="415" spans="1:17" ht="26.45">
      <c r="A415" s="47">
        <v>2024</v>
      </c>
      <c r="B415" s="50" t="s">
        <v>1411</v>
      </c>
      <c r="C415" s="50" t="s">
        <v>8972</v>
      </c>
      <c r="D415" s="47" t="s">
        <v>327</v>
      </c>
      <c r="E415" s="48" t="s">
        <v>1030</v>
      </c>
      <c r="F415" s="53">
        <v>239864.27</v>
      </c>
      <c r="G415" s="53">
        <v>68645.64</v>
      </c>
      <c r="H415" s="53">
        <v>0</v>
      </c>
      <c r="I415" s="53">
        <v>0</v>
      </c>
      <c r="J415" s="53">
        <v>0</v>
      </c>
      <c r="K415" s="53">
        <v>0</v>
      </c>
      <c r="L415" s="53">
        <v>0</v>
      </c>
      <c r="M415" s="43"/>
      <c r="N415" s="53">
        <v>0</v>
      </c>
      <c r="O415" s="53">
        <v>0</v>
      </c>
      <c r="P415" s="53">
        <v>0</v>
      </c>
      <c r="Q415" s="53">
        <v>308509.90999999997</v>
      </c>
    </row>
    <row r="416" spans="1:17" ht="26.45">
      <c r="A416" s="44">
        <v>2024</v>
      </c>
      <c r="B416" s="46" t="s">
        <v>1411</v>
      </c>
      <c r="C416" s="46" t="s">
        <v>8972</v>
      </c>
      <c r="D416" s="44" t="s">
        <v>328</v>
      </c>
      <c r="E416" s="45" t="s">
        <v>1031</v>
      </c>
      <c r="F416" s="54">
        <v>19037.400000000001</v>
      </c>
      <c r="G416" s="54">
        <v>0</v>
      </c>
      <c r="H416" s="54">
        <v>0</v>
      </c>
      <c r="I416" s="54">
        <v>0</v>
      </c>
      <c r="J416" s="54">
        <v>0</v>
      </c>
      <c r="K416" s="54">
        <v>0</v>
      </c>
      <c r="L416" s="54">
        <v>0</v>
      </c>
      <c r="M416" s="43"/>
      <c r="N416" s="54">
        <v>0</v>
      </c>
      <c r="O416" s="54">
        <v>0</v>
      </c>
      <c r="P416" s="54">
        <v>0</v>
      </c>
      <c r="Q416" s="54">
        <v>19037.400000000001</v>
      </c>
    </row>
    <row r="417" spans="1:17" ht="26.45">
      <c r="A417" s="47">
        <v>2024</v>
      </c>
      <c r="B417" s="50" t="s">
        <v>1411</v>
      </c>
      <c r="C417" s="50" t="s">
        <v>8972</v>
      </c>
      <c r="D417" s="47" t="s">
        <v>329</v>
      </c>
      <c r="E417" s="48" t="s">
        <v>1032</v>
      </c>
      <c r="F417" s="53">
        <v>29987.74</v>
      </c>
      <c r="G417" s="53">
        <v>0</v>
      </c>
      <c r="H417" s="53">
        <v>0</v>
      </c>
      <c r="I417" s="53">
        <v>0</v>
      </c>
      <c r="J417" s="53">
        <v>0</v>
      </c>
      <c r="K417" s="53">
        <v>0</v>
      </c>
      <c r="L417" s="53">
        <v>0</v>
      </c>
      <c r="M417" s="43"/>
      <c r="N417" s="53">
        <v>0</v>
      </c>
      <c r="O417" s="53">
        <v>0</v>
      </c>
      <c r="P417" s="53">
        <v>0</v>
      </c>
      <c r="Q417" s="53">
        <v>29987.74</v>
      </c>
    </row>
    <row r="418" spans="1:17" ht="26.45">
      <c r="A418" s="44">
        <v>2024</v>
      </c>
      <c r="B418" s="46" t="s">
        <v>1411</v>
      </c>
      <c r="C418" s="46" t="s">
        <v>8972</v>
      </c>
      <c r="D418" s="44" t="s">
        <v>330</v>
      </c>
      <c r="E418" s="45" t="s">
        <v>1033</v>
      </c>
      <c r="F418" s="54">
        <v>32507.83</v>
      </c>
      <c r="G418" s="54">
        <v>0</v>
      </c>
      <c r="H418" s="54">
        <v>0</v>
      </c>
      <c r="I418" s="54">
        <v>0</v>
      </c>
      <c r="J418" s="54">
        <v>0</v>
      </c>
      <c r="K418" s="54">
        <v>0</v>
      </c>
      <c r="L418" s="54">
        <v>0</v>
      </c>
      <c r="M418" s="43"/>
      <c r="N418" s="54">
        <v>0</v>
      </c>
      <c r="O418" s="54">
        <v>0</v>
      </c>
      <c r="P418" s="54">
        <v>0</v>
      </c>
      <c r="Q418" s="54">
        <v>32507.83</v>
      </c>
    </row>
    <row r="419" spans="1:17" ht="26.45">
      <c r="A419" s="47">
        <v>2024</v>
      </c>
      <c r="B419" s="50" t="s">
        <v>1411</v>
      </c>
      <c r="C419" s="50" t="s">
        <v>8972</v>
      </c>
      <c r="D419" s="47" t="s">
        <v>1034</v>
      </c>
      <c r="E419" s="48" t="s">
        <v>1035</v>
      </c>
      <c r="F419" s="53">
        <v>226425.62</v>
      </c>
      <c r="G419" s="53">
        <v>20553.990000000002</v>
      </c>
      <c r="H419" s="53">
        <v>0</v>
      </c>
      <c r="I419" s="53">
        <v>0</v>
      </c>
      <c r="J419" s="53">
        <v>0</v>
      </c>
      <c r="K419" s="53">
        <v>0</v>
      </c>
      <c r="L419" s="53">
        <v>0</v>
      </c>
      <c r="M419" s="43"/>
      <c r="N419" s="53">
        <v>0</v>
      </c>
      <c r="O419" s="53">
        <v>0</v>
      </c>
      <c r="P419" s="53">
        <v>0</v>
      </c>
      <c r="Q419" s="53">
        <v>246979.61</v>
      </c>
    </row>
    <row r="420" spans="1:17" ht="26.45">
      <c r="A420" s="44">
        <v>2024</v>
      </c>
      <c r="B420" s="46" t="s">
        <v>1411</v>
      </c>
      <c r="C420" s="46" t="s">
        <v>8972</v>
      </c>
      <c r="D420" s="44" t="s">
        <v>331</v>
      </c>
      <c r="E420" s="45" t="s">
        <v>1036</v>
      </c>
      <c r="F420" s="54">
        <v>6874.49</v>
      </c>
      <c r="G420" s="54">
        <v>0</v>
      </c>
      <c r="H420" s="54">
        <v>0</v>
      </c>
      <c r="I420" s="54">
        <v>0</v>
      </c>
      <c r="J420" s="54">
        <v>0</v>
      </c>
      <c r="K420" s="54">
        <v>0</v>
      </c>
      <c r="L420" s="54">
        <v>0</v>
      </c>
      <c r="M420" s="43"/>
      <c r="N420" s="54">
        <v>0</v>
      </c>
      <c r="O420" s="54">
        <v>0</v>
      </c>
      <c r="P420" s="54">
        <v>0</v>
      </c>
      <c r="Q420" s="54">
        <v>6874.49</v>
      </c>
    </row>
    <row r="421" spans="1:17" ht="26.45">
      <c r="A421" s="47">
        <v>2024</v>
      </c>
      <c r="B421" s="50" t="s">
        <v>1411</v>
      </c>
      <c r="C421" s="50" t="s">
        <v>8972</v>
      </c>
      <c r="D421" s="47" t="s">
        <v>332</v>
      </c>
      <c r="E421" s="48" t="s">
        <v>1037</v>
      </c>
      <c r="F421" s="53">
        <v>87339.48</v>
      </c>
      <c r="G421" s="53">
        <v>518.20000000000005</v>
      </c>
      <c r="H421" s="53">
        <v>0</v>
      </c>
      <c r="I421" s="53">
        <v>0</v>
      </c>
      <c r="J421" s="53">
        <v>0</v>
      </c>
      <c r="K421" s="53">
        <v>0</v>
      </c>
      <c r="L421" s="53">
        <v>0</v>
      </c>
      <c r="M421" s="43"/>
      <c r="N421" s="53">
        <v>0</v>
      </c>
      <c r="O421" s="53">
        <v>0</v>
      </c>
      <c r="P421" s="53">
        <v>0</v>
      </c>
      <c r="Q421" s="53">
        <v>87857.68</v>
      </c>
    </row>
    <row r="422" spans="1:17" ht="26.45">
      <c r="A422" s="44">
        <v>2024</v>
      </c>
      <c r="B422" s="46" t="s">
        <v>1411</v>
      </c>
      <c r="C422" s="46" t="s">
        <v>8972</v>
      </c>
      <c r="D422" s="44" t="s">
        <v>1038</v>
      </c>
      <c r="E422" s="45" t="s">
        <v>1039</v>
      </c>
      <c r="F422" s="54">
        <v>88828.19</v>
      </c>
      <c r="G422" s="54">
        <v>0</v>
      </c>
      <c r="H422" s="54">
        <v>0</v>
      </c>
      <c r="I422" s="54">
        <v>0</v>
      </c>
      <c r="J422" s="54">
        <v>0</v>
      </c>
      <c r="K422" s="54">
        <v>0</v>
      </c>
      <c r="L422" s="54">
        <v>0</v>
      </c>
      <c r="M422" s="43"/>
      <c r="N422" s="54">
        <v>0</v>
      </c>
      <c r="O422" s="54">
        <v>0</v>
      </c>
      <c r="P422" s="54">
        <v>0</v>
      </c>
      <c r="Q422" s="54">
        <v>88828.19</v>
      </c>
    </row>
    <row r="423" spans="1:17" ht="26.45">
      <c r="A423" s="47">
        <v>2024</v>
      </c>
      <c r="B423" s="50" t="s">
        <v>1411</v>
      </c>
      <c r="C423" s="50" t="s">
        <v>8972</v>
      </c>
      <c r="D423" s="47" t="s">
        <v>1040</v>
      </c>
      <c r="E423" s="48" t="s">
        <v>1041</v>
      </c>
      <c r="F423" s="53">
        <v>6156.97</v>
      </c>
      <c r="G423" s="53">
        <v>4760.29</v>
      </c>
      <c r="H423" s="53">
        <v>0</v>
      </c>
      <c r="I423" s="53">
        <v>0</v>
      </c>
      <c r="J423" s="53">
        <v>0</v>
      </c>
      <c r="K423" s="53">
        <v>0</v>
      </c>
      <c r="L423" s="53">
        <v>0</v>
      </c>
      <c r="M423" s="43"/>
      <c r="N423" s="53">
        <v>0</v>
      </c>
      <c r="O423" s="53">
        <v>0</v>
      </c>
      <c r="P423" s="53">
        <v>0</v>
      </c>
      <c r="Q423" s="53">
        <v>10917.26</v>
      </c>
    </row>
    <row r="424" spans="1:17" ht="26.45">
      <c r="A424" s="44">
        <v>2024</v>
      </c>
      <c r="B424" s="46" t="s">
        <v>1411</v>
      </c>
      <c r="C424" s="46" t="s">
        <v>8972</v>
      </c>
      <c r="D424" s="44" t="s">
        <v>1042</v>
      </c>
      <c r="E424" s="45" t="s">
        <v>1043</v>
      </c>
      <c r="F424" s="54">
        <v>1130.71</v>
      </c>
      <c r="G424" s="54">
        <v>0</v>
      </c>
      <c r="H424" s="54">
        <v>0</v>
      </c>
      <c r="I424" s="54">
        <v>0</v>
      </c>
      <c r="J424" s="54">
        <v>0</v>
      </c>
      <c r="K424" s="54">
        <v>0</v>
      </c>
      <c r="L424" s="54">
        <v>-1130.71</v>
      </c>
      <c r="M424" s="43"/>
      <c r="N424" s="54">
        <v>0</v>
      </c>
      <c r="O424" s="54">
        <v>0</v>
      </c>
      <c r="P424" s="54">
        <v>0</v>
      </c>
      <c r="Q424" s="54">
        <v>0</v>
      </c>
    </row>
    <row r="425" spans="1:17" ht="26.45">
      <c r="A425" s="47">
        <v>2024</v>
      </c>
      <c r="B425" s="50" t="s">
        <v>1411</v>
      </c>
      <c r="C425" s="50" t="s">
        <v>8972</v>
      </c>
      <c r="D425" s="47" t="s">
        <v>333</v>
      </c>
      <c r="E425" s="48" t="s">
        <v>1044</v>
      </c>
      <c r="F425" s="53">
        <v>317196.68</v>
      </c>
      <c r="G425" s="53">
        <v>8553.99</v>
      </c>
      <c r="H425" s="53">
        <v>0</v>
      </c>
      <c r="I425" s="53">
        <v>0</v>
      </c>
      <c r="J425" s="53">
        <v>0</v>
      </c>
      <c r="K425" s="53">
        <v>0</v>
      </c>
      <c r="L425" s="53">
        <v>0</v>
      </c>
      <c r="M425" s="43"/>
      <c r="N425" s="53">
        <v>0</v>
      </c>
      <c r="O425" s="53">
        <v>0</v>
      </c>
      <c r="P425" s="53">
        <v>0</v>
      </c>
      <c r="Q425" s="53">
        <v>325750.67</v>
      </c>
    </row>
    <row r="426" spans="1:17" ht="26.45">
      <c r="A426" s="44">
        <v>2024</v>
      </c>
      <c r="B426" s="46" t="s">
        <v>1411</v>
      </c>
      <c r="C426" s="46" t="s">
        <v>8972</v>
      </c>
      <c r="D426" s="44" t="s">
        <v>334</v>
      </c>
      <c r="E426" s="45" t="s">
        <v>1045</v>
      </c>
      <c r="F426" s="54">
        <v>38020.33</v>
      </c>
      <c r="G426" s="54">
        <v>892.56</v>
      </c>
      <c r="H426" s="54">
        <v>0</v>
      </c>
      <c r="I426" s="54">
        <v>0</v>
      </c>
      <c r="J426" s="54">
        <v>0</v>
      </c>
      <c r="K426" s="54">
        <v>0</v>
      </c>
      <c r="L426" s="54">
        <v>0</v>
      </c>
      <c r="M426" s="43"/>
      <c r="N426" s="54">
        <v>0</v>
      </c>
      <c r="O426" s="54">
        <v>0</v>
      </c>
      <c r="P426" s="54">
        <v>0</v>
      </c>
      <c r="Q426" s="54">
        <v>38912.89</v>
      </c>
    </row>
    <row r="427" spans="1:17" ht="26.45">
      <c r="A427" s="47">
        <v>2024</v>
      </c>
      <c r="B427" s="50" t="s">
        <v>1411</v>
      </c>
      <c r="C427" s="50" t="s">
        <v>8972</v>
      </c>
      <c r="D427" s="47" t="s">
        <v>335</v>
      </c>
      <c r="E427" s="48" t="s">
        <v>1046</v>
      </c>
      <c r="F427" s="53">
        <v>25149.73</v>
      </c>
      <c r="G427" s="53">
        <v>0</v>
      </c>
      <c r="H427" s="53">
        <v>0</v>
      </c>
      <c r="I427" s="53">
        <v>0</v>
      </c>
      <c r="J427" s="53">
        <v>0</v>
      </c>
      <c r="K427" s="53">
        <v>0</v>
      </c>
      <c r="L427" s="53">
        <v>0</v>
      </c>
      <c r="M427" s="43"/>
      <c r="N427" s="53">
        <v>0</v>
      </c>
      <c r="O427" s="53">
        <v>0</v>
      </c>
      <c r="P427" s="53">
        <v>0</v>
      </c>
      <c r="Q427" s="53">
        <v>25149.73</v>
      </c>
    </row>
    <row r="428" spans="1:17" ht="26.45">
      <c r="A428" s="44">
        <v>2024</v>
      </c>
      <c r="B428" s="46" t="s">
        <v>1411</v>
      </c>
      <c r="C428" s="46" t="s">
        <v>8972</v>
      </c>
      <c r="D428" s="44" t="s">
        <v>336</v>
      </c>
      <c r="E428" s="45" t="s">
        <v>1047</v>
      </c>
      <c r="F428" s="54">
        <v>29230.95</v>
      </c>
      <c r="G428" s="54">
        <v>0</v>
      </c>
      <c r="H428" s="54">
        <v>0</v>
      </c>
      <c r="I428" s="54">
        <v>0</v>
      </c>
      <c r="J428" s="54">
        <v>0</v>
      </c>
      <c r="K428" s="54">
        <v>0</v>
      </c>
      <c r="L428" s="54">
        <v>0</v>
      </c>
      <c r="M428" s="43"/>
      <c r="N428" s="54">
        <v>0</v>
      </c>
      <c r="O428" s="54">
        <v>0</v>
      </c>
      <c r="P428" s="54">
        <v>0</v>
      </c>
      <c r="Q428" s="54">
        <v>29230.95</v>
      </c>
    </row>
    <row r="429" spans="1:17" ht="26.45">
      <c r="A429" s="47">
        <v>2024</v>
      </c>
      <c r="B429" s="50" t="s">
        <v>1411</v>
      </c>
      <c r="C429" s="50" t="s">
        <v>8972</v>
      </c>
      <c r="D429" s="47" t="s">
        <v>337</v>
      </c>
      <c r="E429" s="48" t="s">
        <v>1048</v>
      </c>
      <c r="F429" s="53">
        <v>67038.09</v>
      </c>
      <c r="G429" s="53">
        <v>0</v>
      </c>
      <c r="H429" s="53">
        <v>0</v>
      </c>
      <c r="I429" s="53">
        <v>0</v>
      </c>
      <c r="J429" s="53">
        <v>0</v>
      </c>
      <c r="K429" s="53">
        <v>0</v>
      </c>
      <c r="L429" s="53">
        <v>0</v>
      </c>
      <c r="M429" s="43"/>
      <c r="N429" s="53">
        <v>0</v>
      </c>
      <c r="O429" s="53">
        <v>0</v>
      </c>
      <c r="P429" s="53">
        <v>0</v>
      </c>
      <c r="Q429" s="53">
        <v>67038.09</v>
      </c>
    </row>
    <row r="430" spans="1:17" ht="26.45">
      <c r="A430" s="44">
        <v>2024</v>
      </c>
      <c r="B430" s="46" t="s">
        <v>1411</v>
      </c>
      <c r="C430" s="46" t="s">
        <v>8972</v>
      </c>
      <c r="D430" s="44" t="s">
        <v>338</v>
      </c>
      <c r="E430" s="45" t="s">
        <v>1049</v>
      </c>
      <c r="F430" s="54">
        <v>270169.74</v>
      </c>
      <c r="G430" s="54">
        <v>78850.37</v>
      </c>
      <c r="H430" s="54">
        <v>0</v>
      </c>
      <c r="I430" s="54">
        <v>0</v>
      </c>
      <c r="J430" s="54">
        <v>0</v>
      </c>
      <c r="K430" s="54">
        <v>0</v>
      </c>
      <c r="L430" s="54">
        <v>0</v>
      </c>
      <c r="M430" s="43"/>
      <c r="N430" s="54">
        <v>0</v>
      </c>
      <c r="O430" s="54">
        <v>0</v>
      </c>
      <c r="P430" s="54">
        <v>0</v>
      </c>
      <c r="Q430" s="54">
        <v>349020.11</v>
      </c>
    </row>
    <row r="431" spans="1:17" ht="26.45">
      <c r="A431" s="47">
        <v>2024</v>
      </c>
      <c r="B431" s="50" t="s">
        <v>1411</v>
      </c>
      <c r="C431" s="50" t="s">
        <v>8972</v>
      </c>
      <c r="D431" s="47" t="s">
        <v>339</v>
      </c>
      <c r="E431" s="48" t="s">
        <v>1050</v>
      </c>
      <c r="F431" s="53">
        <v>92695.61</v>
      </c>
      <c r="G431" s="53">
        <v>0</v>
      </c>
      <c r="H431" s="53">
        <v>0</v>
      </c>
      <c r="I431" s="53">
        <v>0</v>
      </c>
      <c r="J431" s="53">
        <v>0</v>
      </c>
      <c r="K431" s="53">
        <v>0</v>
      </c>
      <c r="L431" s="53">
        <v>0</v>
      </c>
      <c r="M431" s="43"/>
      <c r="N431" s="53">
        <v>0</v>
      </c>
      <c r="O431" s="53">
        <v>0</v>
      </c>
      <c r="P431" s="53">
        <v>0</v>
      </c>
      <c r="Q431" s="53">
        <v>92695.61</v>
      </c>
    </row>
    <row r="432" spans="1:17" ht="26.45">
      <c r="A432" s="44">
        <v>2024</v>
      </c>
      <c r="B432" s="46" t="s">
        <v>1411</v>
      </c>
      <c r="C432" s="46" t="s">
        <v>8972</v>
      </c>
      <c r="D432" s="44" t="s">
        <v>340</v>
      </c>
      <c r="E432" s="45" t="s">
        <v>1050</v>
      </c>
      <c r="F432" s="54">
        <v>64394.23</v>
      </c>
      <c r="G432" s="54">
        <v>0</v>
      </c>
      <c r="H432" s="54">
        <v>0</v>
      </c>
      <c r="I432" s="54">
        <v>0</v>
      </c>
      <c r="J432" s="54">
        <v>0</v>
      </c>
      <c r="K432" s="54">
        <v>0</v>
      </c>
      <c r="L432" s="54">
        <v>0</v>
      </c>
      <c r="M432" s="43"/>
      <c r="N432" s="54">
        <v>0</v>
      </c>
      <c r="O432" s="54">
        <v>0</v>
      </c>
      <c r="P432" s="54">
        <v>0</v>
      </c>
      <c r="Q432" s="54">
        <v>64394.23</v>
      </c>
    </row>
    <row r="433" spans="1:17" ht="26.45">
      <c r="A433" s="47">
        <v>2024</v>
      </c>
      <c r="B433" s="50" t="s">
        <v>1411</v>
      </c>
      <c r="C433" s="50" t="s">
        <v>8972</v>
      </c>
      <c r="D433" s="47" t="s">
        <v>341</v>
      </c>
      <c r="E433" s="48" t="s">
        <v>1051</v>
      </c>
      <c r="F433" s="53">
        <v>46305.87</v>
      </c>
      <c r="G433" s="53">
        <v>18603.810000000001</v>
      </c>
      <c r="H433" s="53">
        <v>0</v>
      </c>
      <c r="I433" s="53">
        <v>0</v>
      </c>
      <c r="J433" s="53">
        <v>0</v>
      </c>
      <c r="K433" s="53">
        <v>0</v>
      </c>
      <c r="L433" s="53">
        <v>0</v>
      </c>
      <c r="M433" s="43"/>
      <c r="N433" s="53">
        <v>0</v>
      </c>
      <c r="O433" s="53">
        <v>0</v>
      </c>
      <c r="P433" s="53">
        <v>0</v>
      </c>
      <c r="Q433" s="53">
        <v>64909.68</v>
      </c>
    </row>
    <row r="434" spans="1:17" ht="26.45">
      <c r="A434" s="44">
        <v>2024</v>
      </c>
      <c r="B434" s="46" t="s">
        <v>1411</v>
      </c>
      <c r="C434" s="46" t="s">
        <v>8972</v>
      </c>
      <c r="D434" s="44" t="s">
        <v>342</v>
      </c>
      <c r="E434" s="45" t="s">
        <v>1052</v>
      </c>
      <c r="F434" s="54">
        <v>14186.9</v>
      </c>
      <c r="G434" s="54">
        <v>14388.05</v>
      </c>
      <c r="H434" s="54">
        <v>0</v>
      </c>
      <c r="I434" s="54">
        <v>0</v>
      </c>
      <c r="J434" s="54">
        <v>0</v>
      </c>
      <c r="K434" s="54">
        <v>0</v>
      </c>
      <c r="L434" s="54">
        <v>0</v>
      </c>
      <c r="M434" s="43"/>
      <c r="N434" s="54">
        <v>0</v>
      </c>
      <c r="O434" s="54">
        <v>0</v>
      </c>
      <c r="P434" s="54">
        <v>0</v>
      </c>
      <c r="Q434" s="54">
        <v>28574.95</v>
      </c>
    </row>
    <row r="435" spans="1:17" ht="26.45">
      <c r="A435" s="47">
        <v>2024</v>
      </c>
      <c r="B435" s="50" t="s">
        <v>1411</v>
      </c>
      <c r="C435" s="50" t="s">
        <v>8972</v>
      </c>
      <c r="D435" s="47" t="s">
        <v>343</v>
      </c>
      <c r="E435" s="48" t="s">
        <v>1053</v>
      </c>
      <c r="F435" s="53">
        <v>28285.56</v>
      </c>
      <c r="G435" s="53">
        <v>0</v>
      </c>
      <c r="H435" s="53">
        <v>0</v>
      </c>
      <c r="I435" s="53">
        <v>0</v>
      </c>
      <c r="J435" s="53">
        <v>0</v>
      </c>
      <c r="K435" s="53">
        <v>0</v>
      </c>
      <c r="L435" s="53">
        <v>0</v>
      </c>
      <c r="M435" s="43"/>
      <c r="N435" s="53">
        <v>0</v>
      </c>
      <c r="O435" s="53">
        <v>0</v>
      </c>
      <c r="P435" s="53">
        <v>0</v>
      </c>
      <c r="Q435" s="53">
        <v>28285.56</v>
      </c>
    </row>
    <row r="436" spans="1:17" ht="26.45">
      <c r="A436" s="44">
        <v>2024</v>
      </c>
      <c r="B436" s="46" t="s">
        <v>1411</v>
      </c>
      <c r="C436" s="46" t="s">
        <v>8972</v>
      </c>
      <c r="D436" s="44" t="s">
        <v>344</v>
      </c>
      <c r="E436" s="45" t="s">
        <v>1054</v>
      </c>
      <c r="F436" s="54">
        <v>370540.49</v>
      </c>
      <c r="G436" s="54">
        <v>69041.19</v>
      </c>
      <c r="H436" s="54">
        <v>0</v>
      </c>
      <c r="I436" s="54">
        <v>0</v>
      </c>
      <c r="J436" s="54">
        <v>0</v>
      </c>
      <c r="K436" s="54">
        <v>0</v>
      </c>
      <c r="L436" s="54">
        <v>0</v>
      </c>
      <c r="M436" s="43"/>
      <c r="N436" s="54">
        <v>0</v>
      </c>
      <c r="O436" s="54">
        <v>0</v>
      </c>
      <c r="P436" s="54">
        <v>0</v>
      </c>
      <c r="Q436" s="54">
        <v>439581.68</v>
      </c>
    </row>
    <row r="437" spans="1:17" ht="26.45">
      <c r="A437" s="47">
        <v>2024</v>
      </c>
      <c r="B437" s="50" t="s">
        <v>1411</v>
      </c>
      <c r="C437" s="50" t="s">
        <v>8972</v>
      </c>
      <c r="D437" s="47" t="s">
        <v>345</v>
      </c>
      <c r="E437" s="48" t="s">
        <v>1055</v>
      </c>
      <c r="F437" s="53">
        <v>77883.66</v>
      </c>
      <c r="G437" s="53">
        <v>0</v>
      </c>
      <c r="H437" s="53">
        <v>0</v>
      </c>
      <c r="I437" s="53">
        <v>0</v>
      </c>
      <c r="J437" s="53">
        <v>0</v>
      </c>
      <c r="K437" s="53">
        <v>0</v>
      </c>
      <c r="L437" s="53">
        <v>0</v>
      </c>
      <c r="M437" s="43"/>
      <c r="N437" s="53">
        <v>0</v>
      </c>
      <c r="O437" s="53">
        <v>0</v>
      </c>
      <c r="P437" s="53">
        <v>0</v>
      </c>
      <c r="Q437" s="53">
        <v>77883.66</v>
      </c>
    </row>
    <row r="438" spans="1:17" ht="26.45">
      <c r="A438" s="44">
        <v>2024</v>
      </c>
      <c r="B438" s="46" t="s">
        <v>1411</v>
      </c>
      <c r="C438" s="46" t="s">
        <v>8972</v>
      </c>
      <c r="D438" s="44" t="s">
        <v>346</v>
      </c>
      <c r="E438" s="45" t="s">
        <v>1056</v>
      </c>
      <c r="F438" s="54">
        <v>253674.85</v>
      </c>
      <c r="G438" s="54">
        <v>35985.410000000003</v>
      </c>
      <c r="H438" s="54">
        <v>0</v>
      </c>
      <c r="I438" s="54">
        <v>0</v>
      </c>
      <c r="J438" s="54">
        <v>0</v>
      </c>
      <c r="K438" s="54">
        <v>0</v>
      </c>
      <c r="L438" s="54">
        <v>0</v>
      </c>
      <c r="M438" s="43"/>
      <c r="N438" s="54">
        <v>0</v>
      </c>
      <c r="O438" s="54">
        <v>0</v>
      </c>
      <c r="P438" s="54">
        <v>0</v>
      </c>
      <c r="Q438" s="54">
        <v>289660.26</v>
      </c>
    </row>
    <row r="439" spans="1:17" ht="39.6">
      <c r="A439" s="47">
        <v>2024</v>
      </c>
      <c r="B439" s="50" t="s">
        <v>1411</v>
      </c>
      <c r="C439" s="50" t="s">
        <v>8972</v>
      </c>
      <c r="D439" s="47" t="s">
        <v>1057</v>
      </c>
      <c r="E439" s="48" t="s">
        <v>1058</v>
      </c>
      <c r="F439" s="53">
        <v>2953.4</v>
      </c>
      <c r="G439" s="53">
        <v>47.01</v>
      </c>
      <c r="H439" s="53">
        <v>0</v>
      </c>
      <c r="I439" s="53">
        <v>0</v>
      </c>
      <c r="J439" s="53">
        <v>0</v>
      </c>
      <c r="K439" s="53">
        <v>0</v>
      </c>
      <c r="L439" s="53">
        <v>0</v>
      </c>
      <c r="M439" s="43"/>
      <c r="N439" s="53">
        <v>0</v>
      </c>
      <c r="O439" s="53">
        <v>0</v>
      </c>
      <c r="P439" s="53">
        <v>0</v>
      </c>
      <c r="Q439" s="53">
        <v>3000.41</v>
      </c>
    </row>
    <row r="440" spans="1:17" ht="26.45">
      <c r="A440" s="44">
        <v>2024</v>
      </c>
      <c r="B440" s="46" t="s">
        <v>1411</v>
      </c>
      <c r="C440" s="46" t="s">
        <v>8972</v>
      </c>
      <c r="D440" s="44" t="s">
        <v>1059</v>
      </c>
      <c r="E440" s="45" t="s">
        <v>1060</v>
      </c>
      <c r="F440" s="54">
        <v>3205.12</v>
      </c>
      <c r="G440" s="54">
        <v>0</v>
      </c>
      <c r="H440" s="54">
        <v>0</v>
      </c>
      <c r="I440" s="54">
        <v>0</v>
      </c>
      <c r="J440" s="54">
        <v>0</v>
      </c>
      <c r="K440" s="54">
        <v>0</v>
      </c>
      <c r="L440" s="54">
        <v>0</v>
      </c>
      <c r="M440" s="43"/>
      <c r="N440" s="54">
        <v>0</v>
      </c>
      <c r="O440" s="54">
        <v>0</v>
      </c>
      <c r="P440" s="54">
        <v>0</v>
      </c>
      <c r="Q440" s="54">
        <v>3205.12</v>
      </c>
    </row>
    <row r="441" spans="1:17" ht="26.45">
      <c r="A441" s="47">
        <v>2024</v>
      </c>
      <c r="B441" s="50" t="s">
        <v>1411</v>
      </c>
      <c r="C441" s="50" t="s">
        <v>8972</v>
      </c>
      <c r="D441" s="47" t="s">
        <v>347</v>
      </c>
      <c r="E441" s="48" t="s">
        <v>1061</v>
      </c>
      <c r="F441" s="53">
        <v>28352.23</v>
      </c>
      <c r="G441" s="53">
        <v>5587.94</v>
      </c>
      <c r="H441" s="53">
        <v>0</v>
      </c>
      <c r="I441" s="53">
        <v>0</v>
      </c>
      <c r="J441" s="53">
        <v>0</v>
      </c>
      <c r="K441" s="53">
        <v>0</v>
      </c>
      <c r="L441" s="53">
        <v>0</v>
      </c>
      <c r="M441" s="43"/>
      <c r="N441" s="53">
        <v>0</v>
      </c>
      <c r="O441" s="53">
        <v>0</v>
      </c>
      <c r="P441" s="53">
        <v>0</v>
      </c>
      <c r="Q441" s="53">
        <v>33940.17</v>
      </c>
    </row>
    <row r="442" spans="1:17" ht="26.45">
      <c r="A442" s="44">
        <v>2024</v>
      </c>
      <c r="B442" s="46" t="s">
        <v>1411</v>
      </c>
      <c r="C442" s="46" t="s">
        <v>8972</v>
      </c>
      <c r="D442" s="44" t="s">
        <v>348</v>
      </c>
      <c r="E442" s="45" t="s">
        <v>1062</v>
      </c>
      <c r="F442" s="54">
        <v>21574.02</v>
      </c>
      <c r="G442" s="54">
        <v>0</v>
      </c>
      <c r="H442" s="54">
        <v>0</v>
      </c>
      <c r="I442" s="54">
        <v>0</v>
      </c>
      <c r="J442" s="54">
        <v>0</v>
      </c>
      <c r="K442" s="54">
        <v>0</v>
      </c>
      <c r="L442" s="54">
        <v>0</v>
      </c>
      <c r="M442" s="43"/>
      <c r="N442" s="54">
        <v>0</v>
      </c>
      <c r="O442" s="54">
        <v>0</v>
      </c>
      <c r="P442" s="54">
        <v>0</v>
      </c>
      <c r="Q442" s="54">
        <v>21574.02</v>
      </c>
    </row>
    <row r="443" spans="1:17" ht="26.45">
      <c r="A443" s="47">
        <v>2024</v>
      </c>
      <c r="B443" s="50" t="s">
        <v>1411</v>
      </c>
      <c r="C443" s="50" t="s">
        <v>8972</v>
      </c>
      <c r="D443" s="47" t="s">
        <v>1065</v>
      </c>
      <c r="E443" s="48" t="s">
        <v>1066</v>
      </c>
      <c r="F443" s="53">
        <v>32302.41</v>
      </c>
      <c r="G443" s="53">
        <v>0</v>
      </c>
      <c r="H443" s="53">
        <v>0</v>
      </c>
      <c r="I443" s="53">
        <v>0</v>
      </c>
      <c r="J443" s="53">
        <v>0</v>
      </c>
      <c r="K443" s="53">
        <v>0</v>
      </c>
      <c r="L443" s="53">
        <v>0</v>
      </c>
      <c r="M443" s="43"/>
      <c r="N443" s="53">
        <v>0</v>
      </c>
      <c r="O443" s="53">
        <v>0</v>
      </c>
      <c r="P443" s="53">
        <v>0</v>
      </c>
      <c r="Q443" s="53">
        <v>32302.41</v>
      </c>
    </row>
    <row r="444" spans="1:17" ht="26.45">
      <c r="A444" s="44">
        <v>2024</v>
      </c>
      <c r="B444" s="46" t="s">
        <v>1411</v>
      </c>
      <c r="C444" s="46" t="s">
        <v>8972</v>
      </c>
      <c r="D444" s="44" t="s">
        <v>1063</v>
      </c>
      <c r="E444" s="45" t="s">
        <v>1064</v>
      </c>
      <c r="F444" s="54">
        <v>14560.06</v>
      </c>
      <c r="G444" s="54">
        <v>0</v>
      </c>
      <c r="H444" s="54">
        <v>0</v>
      </c>
      <c r="I444" s="54">
        <v>0</v>
      </c>
      <c r="J444" s="54">
        <v>0</v>
      </c>
      <c r="K444" s="54">
        <v>0</v>
      </c>
      <c r="L444" s="54">
        <v>0</v>
      </c>
      <c r="M444" s="43"/>
      <c r="N444" s="54">
        <v>0</v>
      </c>
      <c r="O444" s="54">
        <v>0</v>
      </c>
      <c r="P444" s="54">
        <v>0</v>
      </c>
      <c r="Q444" s="54">
        <v>14560.06</v>
      </c>
    </row>
    <row r="445" spans="1:17" ht="26.45">
      <c r="A445" s="47">
        <v>2024</v>
      </c>
      <c r="B445" s="50" t="s">
        <v>1411</v>
      </c>
      <c r="C445" s="50" t="s">
        <v>8972</v>
      </c>
      <c r="D445" s="47" t="s">
        <v>349</v>
      </c>
      <c r="E445" s="48" t="s">
        <v>1067</v>
      </c>
      <c r="F445" s="53">
        <v>26567.68</v>
      </c>
      <c r="G445" s="53">
        <v>0</v>
      </c>
      <c r="H445" s="53">
        <v>0</v>
      </c>
      <c r="I445" s="53">
        <v>0</v>
      </c>
      <c r="J445" s="53">
        <v>0</v>
      </c>
      <c r="K445" s="53">
        <v>0</v>
      </c>
      <c r="L445" s="53">
        <v>0</v>
      </c>
      <c r="M445" s="43"/>
      <c r="N445" s="53">
        <v>0</v>
      </c>
      <c r="O445" s="53">
        <v>0</v>
      </c>
      <c r="P445" s="53">
        <v>0</v>
      </c>
      <c r="Q445" s="53">
        <v>26567.68</v>
      </c>
    </row>
    <row r="446" spans="1:17" ht="26.45">
      <c r="A446" s="44">
        <v>2024</v>
      </c>
      <c r="B446" s="46" t="s">
        <v>1411</v>
      </c>
      <c r="C446" s="46" t="s">
        <v>8972</v>
      </c>
      <c r="D446" s="44" t="s">
        <v>350</v>
      </c>
      <c r="E446" s="45" t="s">
        <v>1068</v>
      </c>
      <c r="F446" s="54">
        <v>110501.74</v>
      </c>
      <c r="G446" s="54">
        <v>0</v>
      </c>
      <c r="H446" s="54">
        <v>0</v>
      </c>
      <c r="I446" s="54">
        <v>0</v>
      </c>
      <c r="J446" s="54">
        <v>0</v>
      </c>
      <c r="K446" s="54">
        <v>0</v>
      </c>
      <c r="L446" s="54">
        <v>0</v>
      </c>
      <c r="M446" s="43"/>
      <c r="N446" s="54">
        <v>0</v>
      </c>
      <c r="O446" s="54">
        <v>0</v>
      </c>
      <c r="P446" s="54">
        <v>0</v>
      </c>
      <c r="Q446" s="54">
        <v>110501.74</v>
      </c>
    </row>
    <row r="447" spans="1:17" ht="26.45">
      <c r="A447" s="47">
        <v>2024</v>
      </c>
      <c r="B447" s="50" t="s">
        <v>1411</v>
      </c>
      <c r="C447" s="50" t="s">
        <v>8972</v>
      </c>
      <c r="D447" s="47" t="s">
        <v>351</v>
      </c>
      <c r="E447" s="48" t="s">
        <v>1069</v>
      </c>
      <c r="F447" s="53">
        <v>54057.43</v>
      </c>
      <c r="G447" s="53">
        <v>0</v>
      </c>
      <c r="H447" s="53">
        <v>0</v>
      </c>
      <c r="I447" s="53">
        <v>0</v>
      </c>
      <c r="J447" s="53">
        <v>0</v>
      </c>
      <c r="K447" s="53">
        <v>0</v>
      </c>
      <c r="L447" s="53">
        <v>0</v>
      </c>
      <c r="M447" s="43"/>
      <c r="N447" s="53">
        <v>0</v>
      </c>
      <c r="O447" s="53">
        <v>0</v>
      </c>
      <c r="P447" s="53">
        <v>0</v>
      </c>
      <c r="Q447" s="53">
        <v>54057.43</v>
      </c>
    </row>
    <row r="448" spans="1:17" ht="26.45">
      <c r="A448" s="44">
        <v>2024</v>
      </c>
      <c r="B448" s="46" t="s">
        <v>1411</v>
      </c>
      <c r="C448" s="46" t="s">
        <v>8972</v>
      </c>
      <c r="D448" s="44" t="s">
        <v>352</v>
      </c>
      <c r="E448" s="45" t="s">
        <v>1070</v>
      </c>
      <c r="F448" s="54">
        <v>1254622.6000000001</v>
      </c>
      <c r="G448" s="54">
        <v>736527.66</v>
      </c>
      <c r="H448" s="54">
        <v>0</v>
      </c>
      <c r="I448" s="54">
        <v>0</v>
      </c>
      <c r="J448" s="54">
        <v>0</v>
      </c>
      <c r="K448" s="54">
        <v>0</v>
      </c>
      <c r="L448" s="54">
        <v>0</v>
      </c>
      <c r="M448" s="43"/>
      <c r="N448" s="54">
        <v>0</v>
      </c>
      <c r="O448" s="54">
        <v>0</v>
      </c>
      <c r="P448" s="54">
        <v>0</v>
      </c>
      <c r="Q448" s="54">
        <v>1991150.26</v>
      </c>
    </row>
    <row r="449" spans="1:17" ht="26.45">
      <c r="A449" s="47">
        <v>2024</v>
      </c>
      <c r="B449" s="50" t="s">
        <v>1411</v>
      </c>
      <c r="C449" s="50" t="s">
        <v>8972</v>
      </c>
      <c r="D449" s="47" t="s">
        <v>1071</v>
      </c>
      <c r="E449" s="48" t="s">
        <v>1072</v>
      </c>
      <c r="F449" s="53">
        <v>72280.95</v>
      </c>
      <c r="G449" s="53">
        <v>0.28000000000000003</v>
      </c>
      <c r="H449" s="53">
        <v>0</v>
      </c>
      <c r="I449" s="53">
        <v>0</v>
      </c>
      <c r="J449" s="53">
        <v>0</v>
      </c>
      <c r="K449" s="53">
        <v>0</v>
      </c>
      <c r="L449" s="53">
        <v>0</v>
      </c>
      <c r="M449" s="43"/>
      <c r="N449" s="53">
        <v>0</v>
      </c>
      <c r="O449" s="53">
        <v>0</v>
      </c>
      <c r="P449" s="53">
        <v>0</v>
      </c>
      <c r="Q449" s="53">
        <v>72281.23</v>
      </c>
    </row>
    <row r="450" spans="1:17" ht="26.45">
      <c r="A450" s="44">
        <v>2024</v>
      </c>
      <c r="B450" s="46" t="s">
        <v>1411</v>
      </c>
      <c r="C450" s="46" t="s">
        <v>8972</v>
      </c>
      <c r="D450" s="44" t="s">
        <v>1073</v>
      </c>
      <c r="E450" s="45" t="s">
        <v>1074</v>
      </c>
      <c r="F450" s="54">
        <v>150192.31</v>
      </c>
      <c r="G450" s="54">
        <v>123319.15</v>
      </c>
      <c r="H450" s="54">
        <v>0</v>
      </c>
      <c r="I450" s="54">
        <v>0</v>
      </c>
      <c r="J450" s="54">
        <v>0</v>
      </c>
      <c r="K450" s="54">
        <v>0</v>
      </c>
      <c r="L450" s="54">
        <v>0</v>
      </c>
      <c r="M450" s="43"/>
      <c r="N450" s="54">
        <v>0</v>
      </c>
      <c r="O450" s="54">
        <v>0</v>
      </c>
      <c r="P450" s="54">
        <v>0</v>
      </c>
      <c r="Q450" s="54">
        <v>273511.46000000002</v>
      </c>
    </row>
    <row r="451" spans="1:17" ht="26.45">
      <c r="A451" s="47">
        <v>2024</v>
      </c>
      <c r="B451" s="50" t="s">
        <v>1411</v>
      </c>
      <c r="C451" s="50" t="s">
        <v>8972</v>
      </c>
      <c r="D451" s="47" t="s">
        <v>1075</v>
      </c>
      <c r="E451" s="48" t="s">
        <v>1076</v>
      </c>
      <c r="F451" s="53">
        <v>88816.85</v>
      </c>
      <c r="G451" s="53">
        <v>0</v>
      </c>
      <c r="H451" s="53">
        <v>0</v>
      </c>
      <c r="I451" s="53">
        <v>0</v>
      </c>
      <c r="J451" s="53">
        <v>0</v>
      </c>
      <c r="K451" s="53">
        <v>0</v>
      </c>
      <c r="L451" s="53">
        <v>0</v>
      </c>
      <c r="M451" s="43"/>
      <c r="N451" s="53">
        <v>0</v>
      </c>
      <c r="O451" s="53">
        <v>0</v>
      </c>
      <c r="P451" s="53">
        <v>0</v>
      </c>
      <c r="Q451" s="53">
        <v>88816.85</v>
      </c>
    </row>
    <row r="452" spans="1:17" ht="26.45">
      <c r="A452" s="44">
        <v>2024</v>
      </c>
      <c r="B452" s="46" t="s">
        <v>1411</v>
      </c>
      <c r="C452" s="46" t="s">
        <v>8972</v>
      </c>
      <c r="D452" s="44" t="s">
        <v>353</v>
      </c>
      <c r="E452" s="45" t="s">
        <v>1077</v>
      </c>
      <c r="F452" s="54">
        <v>55527.21</v>
      </c>
      <c r="G452" s="54">
        <v>0</v>
      </c>
      <c r="H452" s="54">
        <v>0</v>
      </c>
      <c r="I452" s="54">
        <v>0</v>
      </c>
      <c r="J452" s="54">
        <v>0</v>
      </c>
      <c r="K452" s="54">
        <v>0</v>
      </c>
      <c r="L452" s="54">
        <v>0</v>
      </c>
      <c r="M452" s="43"/>
      <c r="N452" s="54">
        <v>0</v>
      </c>
      <c r="O452" s="54">
        <v>0</v>
      </c>
      <c r="P452" s="54">
        <v>0</v>
      </c>
      <c r="Q452" s="54">
        <v>55527.21</v>
      </c>
    </row>
    <row r="453" spans="1:17" ht="26.45">
      <c r="A453" s="47">
        <v>2024</v>
      </c>
      <c r="B453" s="50" t="s">
        <v>1411</v>
      </c>
      <c r="C453" s="50" t="s">
        <v>8972</v>
      </c>
      <c r="D453" s="47" t="s">
        <v>354</v>
      </c>
      <c r="E453" s="48" t="s">
        <v>1078</v>
      </c>
      <c r="F453" s="53">
        <v>54981.04</v>
      </c>
      <c r="G453" s="53">
        <v>22927.68</v>
      </c>
      <c r="H453" s="53">
        <v>0</v>
      </c>
      <c r="I453" s="53">
        <v>0</v>
      </c>
      <c r="J453" s="53">
        <v>0</v>
      </c>
      <c r="K453" s="53">
        <v>0</v>
      </c>
      <c r="L453" s="53">
        <v>0</v>
      </c>
      <c r="M453" s="43"/>
      <c r="N453" s="53">
        <v>0</v>
      </c>
      <c r="O453" s="53">
        <v>0</v>
      </c>
      <c r="P453" s="53">
        <v>0</v>
      </c>
      <c r="Q453" s="53">
        <v>77908.72</v>
      </c>
    </row>
    <row r="454" spans="1:17" ht="26.45">
      <c r="A454" s="44">
        <v>2024</v>
      </c>
      <c r="B454" s="46" t="s">
        <v>1411</v>
      </c>
      <c r="C454" s="46" t="s">
        <v>8972</v>
      </c>
      <c r="D454" s="44" t="s">
        <v>1079</v>
      </c>
      <c r="E454" s="45" t="s">
        <v>1080</v>
      </c>
      <c r="F454" s="54">
        <v>6904.08</v>
      </c>
      <c r="G454" s="54">
        <v>10252.07</v>
      </c>
      <c r="H454" s="54">
        <v>0</v>
      </c>
      <c r="I454" s="54">
        <v>0</v>
      </c>
      <c r="J454" s="54">
        <v>0</v>
      </c>
      <c r="K454" s="54">
        <v>0</v>
      </c>
      <c r="L454" s="54">
        <v>0</v>
      </c>
      <c r="M454" s="43"/>
      <c r="N454" s="54">
        <v>0</v>
      </c>
      <c r="O454" s="54">
        <v>0</v>
      </c>
      <c r="P454" s="54">
        <v>0</v>
      </c>
      <c r="Q454" s="54">
        <v>17156.150000000001</v>
      </c>
    </row>
    <row r="455" spans="1:17" ht="26.45">
      <c r="A455" s="47">
        <v>2024</v>
      </c>
      <c r="B455" s="50" t="s">
        <v>1411</v>
      </c>
      <c r="C455" s="50" t="s">
        <v>8972</v>
      </c>
      <c r="D455" s="47" t="s">
        <v>355</v>
      </c>
      <c r="E455" s="48" t="s">
        <v>1081</v>
      </c>
      <c r="F455" s="53">
        <v>141198.6</v>
      </c>
      <c r="G455" s="53">
        <v>35378.93</v>
      </c>
      <c r="H455" s="53">
        <v>0</v>
      </c>
      <c r="I455" s="53">
        <v>0</v>
      </c>
      <c r="J455" s="53">
        <v>0</v>
      </c>
      <c r="K455" s="53">
        <v>0</v>
      </c>
      <c r="L455" s="53">
        <v>0</v>
      </c>
      <c r="M455" s="43"/>
      <c r="N455" s="53">
        <v>0</v>
      </c>
      <c r="O455" s="53">
        <v>0</v>
      </c>
      <c r="P455" s="53">
        <v>0</v>
      </c>
      <c r="Q455" s="53">
        <v>176577.53</v>
      </c>
    </row>
    <row r="456" spans="1:17" ht="26.45">
      <c r="A456" s="44">
        <v>2024</v>
      </c>
      <c r="B456" s="46" t="s">
        <v>1411</v>
      </c>
      <c r="C456" s="46" t="s">
        <v>8972</v>
      </c>
      <c r="D456" s="44" t="s">
        <v>356</v>
      </c>
      <c r="E456" s="45" t="s">
        <v>1082</v>
      </c>
      <c r="F456" s="54">
        <v>779902.57</v>
      </c>
      <c r="G456" s="54">
        <v>230977.77</v>
      </c>
      <c r="H456" s="54">
        <v>0</v>
      </c>
      <c r="I456" s="54">
        <v>0</v>
      </c>
      <c r="J456" s="54">
        <v>0</v>
      </c>
      <c r="K456" s="54">
        <v>0</v>
      </c>
      <c r="L456" s="54">
        <v>0</v>
      </c>
      <c r="M456" s="43"/>
      <c r="N456" s="54">
        <v>0</v>
      </c>
      <c r="O456" s="54">
        <v>0</v>
      </c>
      <c r="P456" s="54">
        <v>0</v>
      </c>
      <c r="Q456" s="54">
        <v>1010880.34</v>
      </c>
    </row>
    <row r="457" spans="1:17" ht="26.45">
      <c r="A457" s="47">
        <v>2024</v>
      </c>
      <c r="B457" s="50" t="s">
        <v>1411</v>
      </c>
      <c r="C457" s="50" t="s">
        <v>8972</v>
      </c>
      <c r="D457" s="47" t="s">
        <v>357</v>
      </c>
      <c r="E457" s="48" t="s">
        <v>1083</v>
      </c>
      <c r="F457" s="53">
        <v>7503</v>
      </c>
      <c r="G457" s="53">
        <v>401.45</v>
      </c>
      <c r="H457" s="53">
        <v>0</v>
      </c>
      <c r="I457" s="53">
        <v>0</v>
      </c>
      <c r="J457" s="53">
        <v>0</v>
      </c>
      <c r="K457" s="53">
        <v>0</v>
      </c>
      <c r="L457" s="53">
        <v>0</v>
      </c>
      <c r="M457" s="43"/>
      <c r="N457" s="53">
        <v>0</v>
      </c>
      <c r="O457" s="53">
        <v>0</v>
      </c>
      <c r="P457" s="53">
        <v>0</v>
      </c>
      <c r="Q457" s="53">
        <v>7904.45</v>
      </c>
    </row>
    <row r="458" spans="1:17" ht="26.45">
      <c r="A458" s="44">
        <v>2024</v>
      </c>
      <c r="B458" s="46" t="s">
        <v>1411</v>
      </c>
      <c r="C458" s="46" t="s">
        <v>8972</v>
      </c>
      <c r="D458" s="44" t="s">
        <v>358</v>
      </c>
      <c r="E458" s="45" t="s">
        <v>1084</v>
      </c>
      <c r="F458" s="54">
        <v>141512.54999999999</v>
      </c>
      <c r="G458" s="54">
        <v>593.41</v>
      </c>
      <c r="H458" s="54">
        <v>0</v>
      </c>
      <c r="I458" s="54">
        <v>0</v>
      </c>
      <c r="J458" s="54">
        <v>0</v>
      </c>
      <c r="K458" s="54">
        <v>0</v>
      </c>
      <c r="L458" s="54">
        <v>0</v>
      </c>
      <c r="M458" s="43"/>
      <c r="N458" s="54">
        <v>0</v>
      </c>
      <c r="O458" s="54">
        <v>0</v>
      </c>
      <c r="P458" s="54">
        <v>0</v>
      </c>
      <c r="Q458" s="54">
        <v>142105.96</v>
      </c>
    </row>
    <row r="459" spans="1:17" ht="26.45">
      <c r="A459" s="47">
        <v>2024</v>
      </c>
      <c r="B459" s="50" t="s">
        <v>1411</v>
      </c>
      <c r="C459" s="50" t="s">
        <v>8972</v>
      </c>
      <c r="D459" s="47" t="s">
        <v>1085</v>
      </c>
      <c r="E459" s="48" t="s">
        <v>1086</v>
      </c>
      <c r="F459" s="53">
        <v>15493.5</v>
      </c>
      <c r="G459" s="53">
        <v>5655.27</v>
      </c>
      <c r="H459" s="53">
        <v>0</v>
      </c>
      <c r="I459" s="53">
        <v>0</v>
      </c>
      <c r="J459" s="53">
        <v>0</v>
      </c>
      <c r="K459" s="53">
        <v>0</v>
      </c>
      <c r="L459" s="53">
        <v>0</v>
      </c>
      <c r="M459" s="43"/>
      <c r="N459" s="53">
        <v>0</v>
      </c>
      <c r="O459" s="53">
        <v>0</v>
      </c>
      <c r="P459" s="53">
        <v>0</v>
      </c>
      <c r="Q459" s="53">
        <v>21148.77</v>
      </c>
    </row>
    <row r="460" spans="1:17" ht="26.45">
      <c r="A460" s="44">
        <v>2024</v>
      </c>
      <c r="B460" s="46" t="s">
        <v>1411</v>
      </c>
      <c r="C460" s="46" t="s">
        <v>8972</v>
      </c>
      <c r="D460" s="44" t="s">
        <v>359</v>
      </c>
      <c r="E460" s="45" t="s">
        <v>1087</v>
      </c>
      <c r="F460" s="54">
        <v>643397.06999999995</v>
      </c>
      <c r="G460" s="54">
        <v>64539.69</v>
      </c>
      <c r="H460" s="54">
        <v>0</v>
      </c>
      <c r="I460" s="54">
        <v>0</v>
      </c>
      <c r="J460" s="54">
        <v>0</v>
      </c>
      <c r="K460" s="54">
        <v>0</v>
      </c>
      <c r="L460" s="54">
        <v>0</v>
      </c>
      <c r="M460" s="43"/>
      <c r="N460" s="54">
        <v>0</v>
      </c>
      <c r="O460" s="54">
        <v>0</v>
      </c>
      <c r="P460" s="54">
        <v>0</v>
      </c>
      <c r="Q460" s="54">
        <v>707936.76</v>
      </c>
    </row>
    <row r="461" spans="1:17" ht="39.6">
      <c r="A461" s="47">
        <v>2024</v>
      </c>
      <c r="B461" s="50" t="s">
        <v>1411</v>
      </c>
      <c r="C461" s="50" t="s">
        <v>8972</v>
      </c>
      <c r="D461" s="47" t="s">
        <v>360</v>
      </c>
      <c r="E461" s="48" t="s">
        <v>1088</v>
      </c>
      <c r="F461" s="53">
        <v>19749.189999999999</v>
      </c>
      <c r="G461" s="53">
        <v>0</v>
      </c>
      <c r="H461" s="53">
        <v>0</v>
      </c>
      <c r="I461" s="53">
        <v>0</v>
      </c>
      <c r="J461" s="53">
        <v>0</v>
      </c>
      <c r="K461" s="53">
        <v>0</v>
      </c>
      <c r="L461" s="53">
        <v>0</v>
      </c>
      <c r="M461" s="43"/>
      <c r="N461" s="53">
        <v>0</v>
      </c>
      <c r="O461" s="53">
        <v>0</v>
      </c>
      <c r="P461" s="53">
        <v>0</v>
      </c>
      <c r="Q461" s="53">
        <v>19749.189999999999</v>
      </c>
    </row>
    <row r="462" spans="1:17" ht="26.45">
      <c r="A462" s="44">
        <v>2024</v>
      </c>
      <c r="B462" s="46" t="s">
        <v>1411</v>
      </c>
      <c r="C462" s="46" t="s">
        <v>8972</v>
      </c>
      <c r="D462" s="44" t="s">
        <v>361</v>
      </c>
      <c r="E462" s="45" t="s">
        <v>1089</v>
      </c>
      <c r="F462" s="54">
        <v>13542.96</v>
      </c>
      <c r="G462" s="54">
        <v>0</v>
      </c>
      <c r="H462" s="54">
        <v>0</v>
      </c>
      <c r="I462" s="54">
        <v>0</v>
      </c>
      <c r="J462" s="54">
        <v>0</v>
      </c>
      <c r="K462" s="54">
        <v>0</v>
      </c>
      <c r="L462" s="54">
        <v>0</v>
      </c>
      <c r="M462" s="43"/>
      <c r="N462" s="54">
        <v>0</v>
      </c>
      <c r="O462" s="54">
        <v>0</v>
      </c>
      <c r="P462" s="54">
        <v>0</v>
      </c>
      <c r="Q462" s="54">
        <v>13542.96</v>
      </c>
    </row>
    <row r="463" spans="1:17" ht="26.45">
      <c r="A463" s="47">
        <v>2024</v>
      </c>
      <c r="B463" s="50" t="s">
        <v>1411</v>
      </c>
      <c r="C463" s="50" t="s">
        <v>8972</v>
      </c>
      <c r="D463" s="47" t="s">
        <v>362</v>
      </c>
      <c r="E463" s="48" t="s">
        <v>1090</v>
      </c>
      <c r="F463" s="53">
        <v>84744.42</v>
      </c>
      <c r="G463" s="53">
        <v>6360.76</v>
      </c>
      <c r="H463" s="53">
        <v>0</v>
      </c>
      <c r="I463" s="53">
        <v>0</v>
      </c>
      <c r="J463" s="53">
        <v>0</v>
      </c>
      <c r="K463" s="53">
        <v>0</v>
      </c>
      <c r="L463" s="53">
        <v>0</v>
      </c>
      <c r="M463" s="43"/>
      <c r="N463" s="53">
        <v>0</v>
      </c>
      <c r="O463" s="53">
        <v>0</v>
      </c>
      <c r="P463" s="53">
        <v>0</v>
      </c>
      <c r="Q463" s="53">
        <v>91105.18</v>
      </c>
    </row>
    <row r="464" spans="1:17" ht="26.45">
      <c r="A464" s="44">
        <v>2024</v>
      </c>
      <c r="B464" s="46" t="s">
        <v>1411</v>
      </c>
      <c r="C464" s="46" t="s">
        <v>8972</v>
      </c>
      <c r="D464" s="44" t="s">
        <v>363</v>
      </c>
      <c r="E464" s="45" t="s">
        <v>1091</v>
      </c>
      <c r="F464" s="54">
        <v>22316.78</v>
      </c>
      <c r="G464" s="54">
        <v>1193.6400000000001</v>
      </c>
      <c r="H464" s="54">
        <v>0</v>
      </c>
      <c r="I464" s="54">
        <v>0</v>
      </c>
      <c r="J464" s="54">
        <v>0</v>
      </c>
      <c r="K464" s="54">
        <v>0</v>
      </c>
      <c r="L464" s="54">
        <v>0</v>
      </c>
      <c r="M464" s="43"/>
      <c r="N464" s="54">
        <v>0</v>
      </c>
      <c r="O464" s="54">
        <v>0</v>
      </c>
      <c r="P464" s="54">
        <v>0</v>
      </c>
      <c r="Q464" s="54">
        <v>23510.42</v>
      </c>
    </row>
    <row r="465" spans="1:17" ht="26.45">
      <c r="A465" s="47">
        <v>2024</v>
      </c>
      <c r="B465" s="50" t="s">
        <v>1411</v>
      </c>
      <c r="C465" s="50" t="s">
        <v>8972</v>
      </c>
      <c r="D465" s="47" t="s">
        <v>364</v>
      </c>
      <c r="E465" s="48" t="s">
        <v>1092</v>
      </c>
      <c r="F465" s="53">
        <v>249698.29</v>
      </c>
      <c r="G465" s="53">
        <v>27649.34</v>
      </c>
      <c r="H465" s="53">
        <v>0</v>
      </c>
      <c r="I465" s="53">
        <v>0</v>
      </c>
      <c r="J465" s="53">
        <v>0</v>
      </c>
      <c r="K465" s="53">
        <v>0</v>
      </c>
      <c r="L465" s="53">
        <v>0</v>
      </c>
      <c r="M465" s="43"/>
      <c r="N465" s="53">
        <v>0</v>
      </c>
      <c r="O465" s="53">
        <v>0</v>
      </c>
      <c r="P465" s="53">
        <v>0</v>
      </c>
      <c r="Q465" s="53">
        <v>277347.63</v>
      </c>
    </row>
    <row r="466" spans="1:17" ht="26.45">
      <c r="A466" s="44">
        <v>2024</v>
      </c>
      <c r="B466" s="46" t="s">
        <v>1411</v>
      </c>
      <c r="C466" s="46" t="s">
        <v>8972</v>
      </c>
      <c r="D466" s="44" t="s">
        <v>365</v>
      </c>
      <c r="E466" s="45" t="s">
        <v>1093</v>
      </c>
      <c r="F466" s="54">
        <v>196589.37</v>
      </c>
      <c r="G466" s="54">
        <v>0</v>
      </c>
      <c r="H466" s="54">
        <v>0</v>
      </c>
      <c r="I466" s="54">
        <v>0</v>
      </c>
      <c r="J466" s="54">
        <v>0</v>
      </c>
      <c r="K466" s="54">
        <v>0</v>
      </c>
      <c r="L466" s="54">
        <v>0</v>
      </c>
      <c r="M466" s="43"/>
      <c r="N466" s="54">
        <v>0</v>
      </c>
      <c r="O466" s="54">
        <v>0</v>
      </c>
      <c r="P466" s="54">
        <v>0</v>
      </c>
      <c r="Q466" s="54">
        <v>196589.37</v>
      </c>
    </row>
    <row r="467" spans="1:17" ht="26.45">
      <c r="A467" s="47">
        <v>2024</v>
      </c>
      <c r="B467" s="50" t="s">
        <v>1411</v>
      </c>
      <c r="C467" s="50" t="s">
        <v>8972</v>
      </c>
      <c r="D467" s="47" t="s">
        <v>366</v>
      </c>
      <c r="E467" s="48" t="s">
        <v>1094</v>
      </c>
      <c r="F467" s="53">
        <v>5927940.9400000004</v>
      </c>
      <c r="G467" s="53">
        <v>1199970.1299999999</v>
      </c>
      <c r="H467" s="53">
        <v>0</v>
      </c>
      <c r="I467" s="53">
        <v>0</v>
      </c>
      <c r="J467" s="53">
        <v>0</v>
      </c>
      <c r="K467" s="53">
        <v>0</v>
      </c>
      <c r="L467" s="53">
        <v>0</v>
      </c>
      <c r="M467" s="43"/>
      <c r="N467" s="53">
        <v>0</v>
      </c>
      <c r="O467" s="53">
        <v>0</v>
      </c>
      <c r="P467" s="53">
        <v>0</v>
      </c>
      <c r="Q467" s="53">
        <v>7127911.0700000003</v>
      </c>
    </row>
    <row r="468" spans="1:17" ht="26.45">
      <c r="A468" s="44">
        <v>2024</v>
      </c>
      <c r="B468" s="46" t="s">
        <v>1411</v>
      </c>
      <c r="C468" s="46" t="s">
        <v>8972</v>
      </c>
      <c r="D468" s="44" t="s">
        <v>367</v>
      </c>
      <c r="E468" s="45" t="s">
        <v>1095</v>
      </c>
      <c r="F468" s="54">
        <v>407031.91</v>
      </c>
      <c r="G468" s="54">
        <v>0</v>
      </c>
      <c r="H468" s="54">
        <v>0</v>
      </c>
      <c r="I468" s="54">
        <v>0</v>
      </c>
      <c r="J468" s="54">
        <v>0</v>
      </c>
      <c r="K468" s="54">
        <v>0</v>
      </c>
      <c r="L468" s="54">
        <v>0</v>
      </c>
      <c r="M468" s="43"/>
      <c r="N468" s="54">
        <v>0</v>
      </c>
      <c r="O468" s="54">
        <v>0</v>
      </c>
      <c r="P468" s="54">
        <v>0</v>
      </c>
      <c r="Q468" s="54">
        <v>407031.91</v>
      </c>
    </row>
    <row r="469" spans="1:17" ht="26.45">
      <c r="A469" s="47">
        <v>2024</v>
      </c>
      <c r="B469" s="50" t="s">
        <v>1411</v>
      </c>
      <c r="C469" s="50" t="s">
        <v>8972</v>
      </c>
      <c r="D469" s="47" t="s">
        <v>368</v>
      </c>
      <c r="E469" s="48" t="s">
        <v>1096</v>
      </c>
      <c r="F469" s="53">
        <v>435371.98</v>
      </c>
      <c r="G469" s="53">
        <v>182445.96</v>
      </c>
      <c r="H469" s="53">
        <v>0</v>
      </c>
      <c r="I469" s="53">
        <v>0</v>
      </c>
      <c r="J469" s="53">
        <v>0</v>
      </c>
      <c r="K469" s="53">
        <v>0</v>
      </c>
      <c r="L469" s="53">
        <v>0</v>
      </c>
      <c r="M469" s="43"/>
      <c r="N469" s="53">
        <v>0</v>
      </c>
      <c r="O469" s="53">
        <v>0</v>
      </c>
      <c r="P469" s="53">
        <v>0</v>
      </c>
      <c r="Q469" s="53">
        <v>617817.93999999994</v>
      </c>
    </row>
    <row r="470" spans="1:17" ht="26.45">
      <c r="A470" s="44">
        <v>2024</v>
      </c>
      <c r="B470" s="46" t="s">
        <v>1411</v>
      </c>
      <c r="C470" s="46" t="s">
        <v>8972</v>
      </c>
      <c r="D470" s="44" t="s">
        <v>1097</v>
      </c>
      <c r="E470" s="45" t="s">
        <v>1098</v>
      </c>
      <c r="F470" s="54">
        <v>23821.78</v>
      </c>
      <c r="G470" s="54">
        <v>0</v>
      </c>
      <c r="H470" s="54">
        <v>0</v>
      </c>
      <c r="I470" s="54">
        <v>0</v>
      </c>
      <c r="J470" s="54">
        <v>0</v>
      </c>
      <c r="K470" s="54">
        <v>0</v>
      </c>
      <c r="L470" s="54">
        <v>0</v>
      </c>
      <c r="M470" s="43"/>
      <c r="N470" s="54">
        <v>0</v>
      </c>
      <c r="O470" s="54">
        <v>0</v>
      </c>
      <c r="P470" s="54">
        <v>0</v>
      </c>
      <c r="Q470" s="54">
        <v>23821.78</v>
      </c>
    </row>
    <row r="471" spans="1:17" ht="26.45">
      <c r="A471" s="47">
        <v>2024</v>
      </c>
      <c r="B471" s="50" t="s">
        <v>1411</v>
      </c>
      <c r="C471" s="50" t="s">
        <v>8972</v>
      </c>
      <c r="D471" s="47" t="s">
        <v>369</v>
      </c>
      <c r="E471" s="48" t="s">
        <v>1099</v>
      </c>
      <c r="F471" s="53">
        <v>27468.09</v>
      </c>
      <c r="G471" s="53">
        <v>20844.97</v>
      </c>
      <c r="H471" s="53">
        <v>0</v>
      </c>
      <c r="I471" s="53">
        <v>0</v>
      </c>
      <c r="J471" s="53">
        <v>0</v>
      </c>
      <c r="K471" s="53">
        <v>0</v>
      </c>
      <c r="L471" s="53">
        <v>0</v>
      </c>
      <c r="M471" s="43"/>
      <c r="N471" s="53">
        <v>0</v>
      </c>
      <c r="O471" s="53">
        <v>0</v>
      </c>
      <c r="P471" s="53">
        <v>0</v>
      </c>
      <c r="Q471" s="53">
        <v>48313.06</v>
      </c>
    </row>
    <row r="472" spans="1:17" ht="26.45">
      <c r="A472" s="44">
        <v>2024</v>
      </c>
      <c r="B472" s="46" t="s">
        <v>1411</v>
      </c>
      <c r="C472" s="46" t="s">
        <v>8972</v>
      </c>
      <c r="D472" s="44" t="s">
        <v>370</v>
      </c>
      <c r="E472" s="45" t="s">
        <v>1100</v>
      </c>
      <c r="F472" s="54">
        <v>4984.75</v>
      </c>
      <c r="G472" s="54">
        <v>6588.2</v>
      </c>
      <c r="H472" s="54">
        <v>0</v>
      </c>
      <c r="I472" s="54">
        <v>0</v>
      </c>
      <c r="J472" s="54">
        <v>0</v>
      </c>
      <c r="K472" s="54">
        <v>0</v>
      </c>
      <c r="L472" s="54">
        <v>0</v>
      </c>
      <c r="M472" s="43"/>
      <c r="N472" s="54">
        <v>0</v>
      </c>
      <c r="O472" s="54">
        <v>0</v>
      </c>
      <c r="P472" s="54">
        <v>0</v>
      </c>
      <c r="Q472" s="54">
        <v>11572.95</v>
      </c>
    </row>
    <row r="473" spans="1:17" ht="26.45">
      <c r="A473" s="47">
        <v>2024</v>
      </c>
      <c r="B473" s="50" t="s">
        <v>1411</v>
      </c>
      <c r="C473" s="50" t="s">
        <v>8972</v>
      </c>
      <c r="D473" s="47" t="s">
        <v>1101</v>
      </c>
      <c r="E473" s="48" t="s">
        <v>1102</v>
      </c>
      <c r="F473" s="53">
        <v>14734.75</v>
      </c>
      <c r="G473" s="53">
        <v>2611.2600000000002</v>
      </c>
      <c r="H473" s="53">
        <v>0</v>
      </c>
      <c r="I473" s="53">
        <v>0</v>
      </c>
      <c r="J473" s="53">
        <v>0</v>
      </c>
      <c r="K473" s="53">
        <v>0</v>
      </c>
      <c r="L473" s="53">
        <v>0</v>
      </c>
      <c r="M473" s="43"/>
      <c r="N473" s="53">
        <v>0</v>
      </c>
      <c r="O473" s="53">
        <v>0</v>
      </c>
      <c r="P473" s="53">
        <v>0</v>
      </c>
      <c r="Q473" s="53">
        <v>17346.009999999998</v>
      </c>
    </row>
    <row r="474" spans="1:17" ht="26.45">
      <c r="A474" s="44">
        <v>2024</v>
      </c>
      <c r="B474" s="46" t="s">
        <v>1411</v>
      </c>
      <c r="C474" s="46" t="s">
        <v>8972</v>
      </c>
      <c r="D474" s="44" t="s">
        <v>371</v>
      </c>
      <c r="E474" s="45" t="s">
        <v>1103</v>
      </c>
      <c r="F474" s="54">
        <v>100213.77</v>
      </c>
      <c r="G474" s="54">
        <v>0</v>
      </c>
      <c r="H474" s="54">
        <v>0</v>
      </c>
      <c r="I474" s="54">
        <v>0</v>
      </c>
      <c r="J474" s="54">
        <v>0</v>
      </c>
      <c r="K474" s="54">
        <v>0</v>
      </c>
      <c r="L474" s="54">
        <v>0</v>
      </c>
      <c r="M474" s="43"/>
      <c r="N474" s="54">
        <v>0</v>
      </c>
      <c r="O474" s="54">
        <v>0</v>
      </c>
      <c r="P474" s="54">
        <v>0</v>
      </c>
      <c r="Q474" s="54">
        <v>100213.77</v>
      </c>
    </row>
    <row r="475" spans="1:17" ht="26.45">
      <c r="A475" s="47">
        <v>2024</v>
      </c>
      <c r="B475" s="50" t="s">
        <v>1411</v>
      </c>
      <c r="C475" s="50" t="s">
        <v>8972</v>
      </c>
      <c r="D475" s="47" t="s">
        <v>1104</v>
      </c>
      <c r="E475" s="48" t="s">
        <v>1105</v>
      </c>
      <c r="F475" s="53">
        <v>23549.55</v>
      </c>
      <c r="G475" s="53">
        <v>0</v>
      </c>
      <c r="H475" s="53">
        <v>0</v>
      </c>
      <c r="I475" s="53">
        <v>0</v>
      </c>
      <c r="J475" s="53">
        <v>0</v>
      </c>
      <c r="K475" s="53">
        <v>0</v>
      </c>
      <c r="L475" s="53">
        <v>-23549.55</v>
      </c>
      <c r="M475" s="43"/>
      <c r="N475" s="53">
        <v>0</v>
      </c>
      <c r="O475" s="53">
        <v>0</v>
      </c>
      <c r="P475" s="53">
        <v>0</v>
      </c>
      <c r="Q475" s="53">
        <v>0</v>
      </c>
    </row>
    <row r="476" spans="1:17" ht="26.45">
      <c r="A476" s="44">
        <v>2024</v>
      </c>
      <c r="B476" s="46" t="s">
        <v>1411</v>
      </c>
      <c r="C476" s="46" t="s">
        <v>8972</v>
      </c>
      <c r="D476" s="44" t="s">
        <v>1106</v>
      </c>
      <c r="E476" s="45" t="s">
        <v>1107</v>
      </c>
      <c r="F476" s="54">
        <v>7812.28</v>
      </c>
      <c r="G476" s="54">
        <v>0</v>
      </c>
      <c r="H476" s="54">
        <v>0</v>
      </c>
      <c r="I476" s="54">
        <v>0</v>
      </c>
      <c r="J476" s="54">
        <v>0</v>
      </c>
      <c r="K476" s="54">
        <v>0</v>
      </c>
      <c r="L476" s="54">
        <v>0</v>
      </c>
      <c r="M476" s="43"/>
      <c r="N476" s="54">
        <v>0</v>
      </c>
      <c r="O476" s="54">
        <v>0</v>
      </c>
      <c r="P476" s="54">
        <v>0</v>
      </c>
      <c r="Q476" s="54">
        <v>7812.28</v>
      </c>
    </row>
    <row r="477" spans="1:17" ht="26.45">
      <c r="A477" s="47">
        <v>2024</v>
      </c>
      <c r="B477" s="50" t="s">
        <v>1411</v>
      </c>
      <c r="C477" s="50" t="s">
        <v>8972</v>
      </c>
      <c r="D477" s="47" t="s">
        <v>372</v>
      </c>
      <c r="E477" s="48" t="s">
        <v>1108</v>
      </c>
      <c r="F477" s="53">
        <v>535276.09</v>
      </c>
      <c r="G477" s="53">
        <v>80213.83</v>
      </c>
      <c r="H477" s="53">
        <v>0</v>
      </c>
      <c r="I477" s="53">
        <v>0</v>
      </c>
      <c r="J477" s="53">
        <v>0</v>
      </c>
      <c r="K477" s="53">
        <v>0</v>
      </c>
      <c r="L477" s="53">
        <v>0</v>
      </c>
      <c r="M477" s="43"/>
      <c r="N477" s="53">
        <v>0</v>
      </c>
      <c r="O477" s="53">
        <v>0</v>
      </c>
      <c r="P477" s="53">
        <v>0</v>
      </c>
      <c r="Q477" s="53">
        <v>615489.92000000004</v>
      </c>
    </row>
    <row r="478" spans="1:17" ht="26.45">
      <c r="A478" s="44">
        <v>2024</v>
      </c>
      <c r="B478" s="46" t="s">
        <v>1411</v>
      </c>
      <c r="C478" s="46" t="s">
        <v>8972</v>
      </c>
      <c r="D478" s="44" t="s">
        <v>373</v>
      </c>
      <c r="E478" s="45" t="s">
        <v>1109</v>
      </c>
      <c r="F478" s="54">
        <v>56884.5</v>
      </c>
      <c r="G478" s="54">
        <v>0</v>
      </c>
      <c r="H478" s="54">
        <v>0</v>
      </c>
      <c r="I478" s="54">
        <v>0</v>
      </c>
      <c r="J478" s="54">
        <v>0</v>
      </c>
      <c r="K478" s="54">
        <v>0</v>
      </c>
      <c r="L478" s="54">
        <v>0</v>
      </c>
      <c r="M478" s="43"/>
      <c r="N478" s="54">
        <v>0</v>
      </c>
      <c r="O478" s="54">
        <v>0</v>
      </c>
      <c r="P478" s="54">
        <v>0</v>
      </c>
      <c r="Q478" s="54">
        <v>56884.5</v>
      </c>
    </row>
    <row r="479" spans="1:17" ht="26.45">
      <c r="A479" s="47">
        <v>2024</v>
      </c>
      <c r="B479" s="50" t="s">
        <v>1411</v>
      </c>
      <c r="C479" s="50" t="s">
        <v>8972</v>
      </c>
      <c r="D479" s="47" t="s">
        <v>374</v>
      </c>
      <c r="E479" s="48" t="s">
        <v>1110</v>
      </c>
      <c r="F479" s="53">
        <v>32249.82</v>
      </c>
      <c r="G479" s="53">
        <v>0</v>
      </c>
      <c r="H479" s="53">
        <v>0</v>
      </c>
      <c r="I479" s="53">
        <v>0</v>
      </c>
      <c r="J479" s="53">
        <v>0</v>
      </c>
      <c r="K479" s="53">
        <v>0</v>
      </c>
      <c r="L479" s="53">
        <v>0</v>
      </c>
      <c r="M479" s="43"/>
      <c r="N479" s="53">
        <v>0</v>
      </c>
      <c r="O479" s="53">
        <v>0</v>
      </c>
      <c r="P479" s="53">
        <v>0</v>
      </c>
      <c r="Q479" s="53">
        <v>32249.82</v>
      </c>
    </row>
    <row r="480" spans="1:17" ht="26.45">
      <c r="A480" s="44">
        <v>2024</v>
      </c>
      <c r="B480" s="46" t="s">
        <v>1411</v>
      </c>
      <c r="C480" s="46" t="s">
        <v>8972</v>
      </c>
      <c r="D480" s="44" t="s">
        <v>375</v>
      </c>
      <c r="E480" s="45" t="s">
        <v>1111</v>
      </c>
      <c r="F480" s="54">
        <v>1783139.14</v>
      </c>
      <c r="G480" s="54">
        <v>97909.24</v>
      </c>
      <c r="H480" s="54">
        <v>0</v>
      </c>
      <c r="I480" s="54">
        <v>0</v>
      </c>
      <c r="J480" s="54">
        <v>0</v>
      </c>
      <c r="K480" s="54">
        <v>0</v>
      </c>
      <c r="L480" s="54">
        <v>0</v>
      </c>
      <c r="M480" s="43"/>
      <c r="N480" s="54">
        <v>0</v>
      </c>
      <c r="O480" s="54">
        <v>0</v>
      </c>
      <c r="P480" s="54">
        <v>0</v>
      </c>
      <c r="Q480" s="54">
        <v>1881048.38</v>
      </c>
    </row>
    <row r="481" spans="1:17" ht="26.45">
      <c r="A481" s="47">
        <v>2024</v>
      </c>
      <c r="B481" s="50" t="s">
        <v>1411</v>
      </c>
      <c r="C481" s="50" t="s">
        <v>8972</v>
      </c>
      <c r="D481" s="47" t="s">
        <v>1112</v>
      </c>
      <c r="E481" s="48" t="s">
        <v>1113</v>
      </c>
      <c r="F481" s="53">
        <v>38072.410000000003</v>
      </c>
      <c r="G481" s="53">
        <v>0</v>
      </c>
      <c r="H481" s="53">
        <v>0</v>
      </c>
      <c r="I481" s="53">
        <v>0</v>
      </c>
      <c r="J481" s="53">
        <v>0</v>
      </c>
      <c r="K481" s="53">
        <v>0</v>
      </c>
      <c r="L481" s="53">
        <v>0</v>
      </c>
      <c r="M481" s="43"/>
      <c r="N481" s="53">
        <v>0</v>
      </c>
      <c r="O481" s="53">
        <v>0</v>
      </c>
      <c r="P481" s="53">
        <v>0</v>
      </c>
      <c r="Q481" s="53">
        <v>38072.410000000003</v>
      </c>
    </row>
    <row r="482" spans="1:17" ht="26.45">
      <c r="A482" s="44">
        <v>2024</v>
      </c>
      <c r="B482" s="46" t="s">
        <v>1411</v>
      </c>
      <c r="C482" s="46" t="s">
        <v>8972</v>
      </c>
      <c r="D482" s="44" t="s">
        <v>376</v>
      </c>
      <c r="E482" s="45" t="s">
        <v>1114</v>
      </c>
      <c r="F482" s="54">
        <v>7176052.2300000004</v>
      </c>
      <c r="G482" s="54">
        <v>0</v>
      </c>
      <c r="H482" s="54">
        <v>0</v>
      </c>
      <c r="I482" s="54">
        <v>0</v>
      </c>
      <c r="J482" s="54">
        <v>0</v>
      </c>
      <c r="K482" s="54">
        <v>0</v>
      </c>
      <c r="L482" s="54">
        <v>0</v>
      </c>
      <c r="M482" s="43"/>
      <c r="N482" s="54">
        <v>0</v>
      </c>
      <c r="O482" s="54">
        <v>0</v>
      </c>
      <c r="P482" s="54">
        <v>0</v>
      </c>
      <c r="Q482" s="54">
        <v>7176052.2300000004</v>
      </c>
    </row>
    <row r="483" spans="1:17" ht="26.45">
      <c r="A483" s="47">
        <v>2024</v>
      </c>
      <c r="B483" s="50" t="s">
        <v>1411</v>
      </c>
      <c r="C483" s="50" t="s">
        <v>8972</v>
      </c>
      <c r="D483" s="47" t="s">
        <v>1115</v>
      </c>
      <c r="E483" s="48" t="s">
        <v>1116</v>
      </c>
      <c r="F483" s="53">
        <v>75618.559999999998</v>
      </c>
      <c r="G483" s="53">
        <v>0</v>
      </c>
      <c r="H483" s="53">
        <v>0</v>
      </c>
      <c r="I483" s="53">
        <v>0</v>
      </c>
      <c r="J483" s="53">
        <v>0</v>
      </c>
      <c r="K483" s="53">
        <v>0</v>
      </c>
      <c r="L483" s="53">
        <v>0</v>
      </c>
      <c r="M483" s="43"/>
      <c r="N483" s="53">
        <v>0</v>
      </c>
      <c r="O483" s="53">
        <v>0</v>
      </c>
      <c r="P483" s="53">
        <v>0</v>
      </c>
      <c r="Q483" s="53">
        <v>75618.559999999998</v>
      </c>
    </row>
    <row r="484" spans="1:17" ht="26.45">
      <c r="A484" s="44">
        <v>2024</v>
      </c>
      <c r="B484" s="46" t="s">
        <v>1411</v>
      </c>
      <c r="C484" s="46" t="s">
        <v>8972</v>
      </c>
      <c r="D484" s="44" t="s">
        <v>377</v>
      </c>
      <c r="E484" s="45" t="s">
        <v>1117</v>
      </c>
      <c r="F484" s="54">
        <v>1330090.2</v>
      </c>
      <c r="G484" s="54">
        <v>707526.34</v>
      </c>
      <c r="H484" s="54">
        <v>0</v>
      </c>
      <c r="I484" s="54">
        <v>0</v>
      </c>
      <c r="J484" s="54">
        <v>0</v>
      </c>
      <c r="K484" s="54">
        <v>0</v>
      </c>
      <c r="L484" s="54">
        <v>0</v>
      </c>
      <c r="M484" s="43"/>
      <c r="N484" s="54">
        <v>0</v>
      </c>
      <c r="O484" s="54">
        <v>0</v>
      </c>
      <c r="P484" s="54">
        <v>0</v>
      </c>
      <c r="Q484" s="54">
        <v>2037616.54</v>
      </c>
    </row>
    <row r="485" spans="1:17" ht="26.45">
      <c r="A485" s="47">
        <v>2024</v>
      </c>
      <c r="B485" s="50" t="s">
        <v>1411</v>
      </c>
      <c r="C485" s="50" t="s">
        <v>8972</v>
      </c>
      <c r="D485" s="47" t="s">
        <v>378</v>
      </c>
      <c r="E485" s="48" t="s">
        <v>1118</v>
      </c>
      <c r="F485" s="53">
        <v>28291.21</v>
      </c>
      <c r="G485" s="53">
        <v>0</v>
      </c>
      <c r="H485" s="53">
        <v>0</v>
      </c>
      <c r="I485" s="53">
        <v>0</v>
      </c>
      <c r="J485" s="53">
        <v>0</v>
      </c>
      <c r="K485" s="53">
        <v>0</v>
      </c>
      <c r="L485" s="53">
        <v>0</v>
      </c>
      <c r="M485" s="43"/>
      <c r="N485" s="53">
        <v>0</v>
      </c>
      <c r="O485" s="53">
        <v>0</v>
      </c>
      <c r="P485" s="53">
        <v>0</v>
      </c>
      <c r="Q485" s="53">
        <v>28291.21</v>
      </c>
    </row>
    <row r="486" spans="1:17" ht="39.6">
      <c r="A486" s="44">
        <v>2024</v>
      </c>
      <c r="B486" s="46" t="s">
        <v>1411</v>
      </c>
      <c r="C486" s="46" t="s">
        <v>8972</v>
      </c>
      <c r="D486" s="44" t="s">
        <v>1119</v>
      </c>
      <c r="E486" s="45" t="s">
        <v>1120</v>
      </c>
      <c r="F486" s="54">
        <v>22726.71</v>
      </c>
      <c r="G486" s="54">
        <v>0</v>
      </c>
      <c r="H486" s="54">
        <v>0</v>
      </c>
      <c r="I486" s="54">
        <v>0</v>
      </c>
      <c r="J486" s="54">
        <v>0</v>
      </c>
      <c r="K486" s="54">
        <v>0</v>
      </c>
      <c r="L486" s="54">
        <v>0</v>
      </c>
      <c r="M486" s="43"/>
      <c r="N486" s="54">
        <v>0</v>
      </c>
      <c r="O486" s="54">
        <v>0</v>
      </c>
      <c r="P486" s="54">
        <v>0</v>
      </c>
      <c r="Q486" s="54">
        <v>22726.71</v>
      </c>
    </row>
    <row r="487" spans="1:17" ht="26.45">
      <c r="A487" s="47">
        <v>2024</v>
      </c>
      <c r="B487" s="50" t="s">
        <v>1411</v>
      </c>
      <c r="C487" s="50" t="s">
        <v>8972</v>
      </c>
      <c r="D487" s="47" t="s">
        <v>1121</v>
      </c>
      <c r="E487" s="48" t="s">
        <v>1122</v>
      </c>
      <c r="F487" s="53">
        <v>6527243.2400000002</v>
      </c>
      <c r="G487" s="53">
        <v>813035.26</v>
      </c>
      <c r="H487" s="53">
        <v>0</v>
      </c>
      <c r="I487" s="53">
        <v>0</v>
      </c>
      <c r="J487" s="53">
        <v>0</v>
      </c>
      <c r="K487" s="53">
        <v>0</v>
      </c>
      <c r="L487" s="53">
        <v>0</v>
      </c>
      <c r="M487" s="43"/>
      <c r="N487" s="53">
        <v>0</v>
      </c>
      <c r="O487" s="53">
        <v>0</v>
      </c>
      <c r="P487" s="53">
        <v>0</v>
      </c>
      <c r="Q487" s="53">
        <v>7340278.5</v>
      </c>
    </row>
    <row r="488" spans="1:17" ht="26.45">
      <c r="A488" s="44">
        <v>2024</v>
      </c>
      <c r="B488" s="46" t="s">
        <v>1411</v>
      </c>
      <c r="C488" s="46" t="s">
        <v>8972</v>
      </c>
      <c r="D488" s="44" t="s">
        <v>379</v>
      </c>
      <c r="E488" s="45" t="s">
        <v>1123</v>
      </c>
      <c r="F488" s="54">
        <v>39485.89</v>
      </c>
      <c r="G488" s="54">
        <v>0</v>
      </c>
      <c r="H488" s="54">
        <v>0</v>
      </c>
      <c r="I488" s="54">
        <v>0</v>
      </c>
      <c r="J488" s="54">
        <v>0</v>
      </c>
      <c r="K488" s="54">
        <v>0</v>
      </c>
      <c r="L488" s="54">
        <v>0</v>
      </c>
      <c r="M488" s="43"/>
      <c r="N488" s="54">
        <v>0</v>
      </c>
      <c r="O488" s="54">
        <v>0</v>
      </c>
      <c r="P488" s="54">
        <v>0</v>
      </c>
      <c r="Q488" s="54">
        <v>39485.89</v>
      </c>
    </row>
    <row r="489" spans="1:17" ht="26.45">
      <c r="A489" s="47">
        <v>2024</v>
      </c>
      <c r="B489" s="50" t="s">
        <v>1411</v>
      </c>
      <c r="C489" s="50" t="s">
        <v>8972</v>
      </c>
      <c r="D489" s="47" t="s">
        <v>1124</v>
      </c>
      <c r="E489" s="48" t="s">
        <v>1125</v>
      </c>
      <c r="F489" s="53">
        <v>2861.84</v>
      </c>
      <c r="G489" s="53">
        <v>1410.4</v>
      </c>
      <c r="H489" s="53">
        <v>0</v>
      </c>
      <c r="I489" s="53">
        <v>0</v>
      </c>
      <c r="J489" s="53">
        <v>0</v>
      </c>
      <c r="K489" s="53">
        <v>0</v>
      </c>
      <c r="L489" s="53">
        <v>0</v>
      </c>
      <c r="M489" s="43"/>
      <c r="N489" s="53">
        <v>0</v>
      </c>
      <c r="O489" s="53">
        <v>0</v>
      </c>
      <c r="P489" s="53">
        <v>0</v>
      </c>
      <c r="Q489" s="53">
        <v>4272.24</v>
      </c>
    </row>
    <row r="490" spans="1:17" ht="26.45">
      <c r="A490" s="44">
        <v>2024</v>
      </c>
      <c r="B490" s="46" t="s">
        <v>1411</v>
      </c>
      <c r="C490" s="46" t="s">
        <v>8972</v>
      </c>
      <c r="D490" s="44" t="s">
        <v>1128</v>
      </c>
      <c r="E490" s="45" t="s">
        <v>1129</v>
      </c>
      <c r="F490" s="54">
        <v>14576.94</v>
      </c>
      <c r="G490" s="54">
        <v>10920.13</v>
      </c>
      <c r="H490" s="54">
        <v>0</v>
      </c>
      <c r="I490" s="54">
        <v>0</v>
      </c>
      <c r="J490" s="54">
        <v>0</v>
      </c>
      <c r="K490" s="54">
        <v>0</v>
      </c>
      <c r="L490" s="54">
        <v>0</v>
      </c>
      <c r="M490" s="43"/>
      <c r="N490" s="54">
        <v>0</v>
      </c>
      <c r="O490" s="54">
        <v>0</v>
      </c>
      <c r="P490" s="54">
        <v>0</v>
      </c>
      <c r="Q490" s="54">
        <v>25497.07</v>
      </c>
    </row>
    <row r="491" spans="1:17" ht="39.6">
      <c r="A491" s="47">
        <v>2024</v>
      </c>
      <c r="B491" s="50" t="s">
        <v>1411</v>
      </c>
      <c r="C491" s="50" t="s">
        <v>8972</v>
      </c>
      <c r="D491" s="47" t="s">
        <v>1126</v>
      </c>
      <c r="E491" s="48" t="s">
        <v>1127</v>
      </c>
      <c r="F491" s="53">
        <v>131135.63</v>
      </c>
      <c r="G491" s="53">
        <v>31.57</v>
      </c>
      <c r="H491" s="53">
        <v>0</v>
      </c>
      <c r="I491" s="53">
        <v>0</v>
      </c>
      <c r="J491" s="53">
        <v>0</v>
      </c>
      <c r="K491" s="53">
        <v>0</v>
      </c>
      <c r="L491" s="53">
        <v>0</v>
      </c>
      <c r="M491" s="43"/>
      <c r="N491" s="53">
        <v>0</v>
      </c>
      <c r="O491" s="53">
        <v>0</v>
      </c>
      <c r="P491" s="53">
        <v>0</v>
      </c>
      <c r="Q491" s="53">
        <v>131167.20000000001</v>
      </c>
    </row>
    <row r="492" spans="1:17" ht="26.45">
      <c r="A492" s="44">
        <v>2024</v>
      </c>
      <c r="B492" s="46" t="s">
        <v>1411</v>
      </c>
      <c r="C492" s="46" t="s">
        <v>8972</v>
      </c>
      <c r="D492" s="44" t="s">
        <v>1134</v>
      </c>
      <c r="E492" s="45" t="s">
        <v>1135</v>
      </c>
      <c r="F492" s="54">
        <v>24936.44</v>
      </c>
      <c r="G492" s="54">
        <v>0</v>
      </c>
      <c r="H492" s="54">
        <v>0</v>
      </c>
      <c r="I492" s="54">
        <v>0</v>
      </c>
      <c r="J492" s="54">
        <v>0</v>
      </c>
      <c r="K492" s="54">
        <v>0</v>
      </c>
      <c r="L492" s="54">
        <v>0</v>
      </c>
      <c r="M492" s="43"/>
      <c r="N492" s="54">
        <v>0</v>
      </c>
      <c r="O492" s="54">
        <v>0</v>
      </c>
      <c r="P492" s="54">
        <v>0</v>
      </c>
      <c r="Q492" s="54">
        <v>24936.44</v>
      </c>
    </row>
    <row r="493" spans="1:17" ht="39.6">
      <c r="A493" s="47">
        <v>2024</v>
      </c>
      <c r="B493" s="50" t="s">
        <v>1411</v>
      </c>
      <c r="C493" s="50" t="s">
        <v>8972</v>
      </c>
      <c r="D493" s="47" t="s">
        <v>1130</v>
      </c>
      <c r="E493" s="48" t="s">
        <v>1131</v>
      </c>
      <c r="F493" s="53">
        <v>10150.14</v>
      </c>
      <c r="G493" s="53">
        <v>1713.3</v>
      </c>
      <c r="H493" s="53">
        <v>0</v>
      </c>
      <c r="I493" s="53">
        <v>0</v>
      </c>
      <c r="J493" s="53">
        <v>0</v>
      </c>
      <c r="K493" s="53">
        <v>0</v>
      </c>
      <c r="L493" s="53">
        <v>0</v>
      </c>
      <c r="M493" s="43"/>
      <c r="N493" s="53">
        <v>0</v>
      </c>
      <c r="O493" s="53">
        <v>0</v>
      </c>
      <c r="P493" s="53">
        <v>0</v>
      </c>
      <c r="Q493" s="53">
        <v>11863.44</v>
      </c>
    </row>
    <row r="494" spans="1:17" ht="39.6">
      <c r="A494" s="44">
        <v>2024</v>
      </c>
      <c r="B494" s="46" t="s">
        <v>1411</v>
      </c>
      <c r="C494" s="46" t="s">
        <v>8972</v>
      </c>
      <c r="D494" s="44" t="s">
        <v>1132</v>
      </c>
      <c r="E494" s="45" t="s">
        <v>1133</v>
      </c>
      <c r="F494" s="54">
        <v>23589.09</v>
      </c>
      <c r="G494" s="54">
        <v>3019.36</v>
      </c>
      <c r="H494" s="54">
        <v>0</v>
      </c>
      <c r="I494" s="54">
        <v>0</v>
      </c>
      <c r="J494" s="54">
        <v>0</v>
      </c>
      <c r="K494" s="54">
        <v>0</v>
      </c>
      <c r="L494" s="54">
        <v>0</v>
      </c>
      <c r="M494" s="43"/>
      <c r="N494" s="54">
        <v>0</v>
      </c>
      <c r="O494" s="54">
        <v>0</v>
      </c>
      <c r="P494" s="54">
        <v>0</v>
      </c>
      <c r="Q494" s="54">
        <v>26608.45</v>
      </c>
    </row>
    <row r="495" spans="1:17" ht="26.45">
      <c r="A495" s="47">
        <v>2024</v>
      </c>
      <c r="B495" s="50" t="s">
        <v>1411</v>
      </c>
      <c r="C495" s="50" t="s">
        <v>8972</v>
      </c>
      <c r="D495" s="47" t="s">
        <v>380</v>
      </c>
      <c r="E495" s="48" t="s">
        <v>1136</v>
      </c>
      <c r="F495" s="53">
        <v>195067.14</v>
      </c>
      <c r="G495" s="53">
        <v>2374.0500000000002</v>
      </c>
      <c r="H495" s="53">
        <v>0</v>
      </c>
      <c r="I495" s="53">
        <v>0</v>
      </c>
      <c r="J495" s="53">
        <v>0</v>
      </c>
      <c r="K495" s="53">
        <v>0</v>
      </c>
      <c r="L495" s="53">
        <v>0</v>
      </c>
      <c r="M495" s="43"/>
      <c r="N495" s="53">
        <v>0</v>
      </c>
      <c r="O495" s="53">
        <v>0</v>
      </c>
      <c r="P495" s="53">
        <v>0</v>
      </c>
      <c r="Q495" s="53">
        <v>197441.19</v>
      </c>
    </row>
    <row r="496" spans="1:17" ht="26.45">
      <c r="A496" s="44">
        <v>2024</v>
      </c>
      <c r="B496" s="46" t="s">
        <v>1411</v>
      </c>
      <c r="C496" s="46" t="s">
        <v>8972</v>
      </c>
      <c r="D496" s="44" t="s">
        <v>1137</v>
      </c>
      <c r="E496" s="45" t="s">
        <v>1138</v>
      </c>
      <c r="F496" s="54">
        <v>8063.09</v>
      </c>
      <c r="G496" s="54">
        <v>0</v>
      </c>
      <c r="H496" s="54">
        <v>0</v>
      </c>
      <c r="I496" s="54">
        <v>0</v>
      </c>
      <c r="J496" s="54">
        <v>0</v>
      </c>
      <c r="K496" s="54">
        <v>0</v>
      </c>
      <c r="L496" s="54">
        <v>-8063.09</v>
      </c>
      <c r="M496" s="43"/>
      <c r="N496" s="54">
        <v>0</v>
      </c>
      <c r="O496" s="54">
        <v>0</v>
      </c>
      <c r="P496" s="54">
        <v>0</v>
      </c>
      <c r="Q496" s="54">
        <v>0</v>
      </c>
    </row>
    <row r="497" spans="1:17" ht="26.45">
      <c r="A497" s="47">
        <v>2024</v>
      </c>
      <c r="B497" s="50" t="s">
        <v>1411</v>
      </c>
      <c r="C497" s="50" t="s">
        <v>8972</v>
      </c>
      <c r="D497" s="47" t="s">
        <v>381</v>
      </c>
      <c r="E497" s="48" t="s">
        <v>1139</v>
      </c>
      <c r="F497" s="53">
        <v>43578.77</v>
      </c>
      <c r="G497" s="53">
        <v>11258.95</v>
      </c>
      <c r="H497" s="53">
        <v>0</v>
      </c>
      <c r="I497" s="53">
        <v>0</v>
      </c>
      <c r="J497" s="53">
        <v>0</v>
      </c>
      <c r="K497" s="53">
        <v>0</v>
      </c>
      <c r="L497" s="53">
        <v>0</v>
      </c>
      <c r="M497" s="43"/>
      <c r="N497" s="53">
        <v>0</v>
      </c>
      <c r="O497" s="53">
        <v>0</v>
      </c>
      <c r="P497" s="53">
        <v>0</v>
      </c>
      <c r="Q497" s="53">
        <v>54837.72</v>
      </c>
    </row>
    <row r="498" spans="1:17" ht="26.45">
      <c r="A498" s="44">
        <v>2024</v>
      </c>
      <c r="B498" s="46" t="s">
        <v>1411</v>
      </c>
      <c r="C498" s="46" t="s">
        <v>8972</v>
      </c>
      <c r="D498" s="44" t="s">
        <v>382</v>
      </c>
      <c r="E498" s="45" t="s">
        <v>1140</v>
      </c>
      <c r="F498" s="54">
        <v>37166.120000000003</v>
      </c>
      <c r="G498" s="54">
        <v>6611.24</v>
      </c>
      <c r="H498" s="54">
        <v>0</v>
      </c>
      <c r="I498" s="54">
        <v>0</v>
      </c>
      <c r="J498" s="54">
        <v>0</v>
      </c>
      <c r="K498" s="54">
        <v>0</v>
      </c>
      <c r="L498" s="54">
        <v>0</v>
      </c>
      <c r="M498" s="43"/>
      <c r="N498" s="54">
        <v>0</v>
      </c>
      <c r="O498" s="54">
        <v>0</v>
      </c>
      <c r="P498" s="54">
        <v>0</v>
      </c>
      <c r="Q498" s="54">
        <v>43777.36</v>
      </c>
    </row>
    <row r="499" spans="1:17" ht="26.45">
      <c r="A499" s="47">
        <v>2024</v>
      </c>
      <c r="B499" s="50" t="s">
        <v>1411</v>
      </c>
      <c r="C499" s="50" t="s">
        <v>8972</v>
      </c>
      <c r="D499" s="47" t="s">
        <v>383</v>
      </c>
      <c r="E499" s="48" t="s">
        <v>1141</v>
      </c>
      <c r="F499" s="53">
        <v>258970.33</v>
      </c>
      <c r="G499" s="53">
        <v>0</v>
      </c>
      <c r="H499" s="53">
        <v>0</v>
      </c>
      <c r="I499" s="53">
        <v>0</v>
      </c>
      <c r="J499" s="53">
        <v>0</v>
      </c>
      <c r="K499" s="53">
        <v>0</v>
      </c>
      <c r="L499" s="53">
        <v>0</v>
      </c>
      <c r="M499" s="43"/>
      <c r="N499" s="53">
        <v>0</v>
      </c>
      <c r="O499" s="53">
        <v>0</v>
      </c>
      <c r="P499" s="53">
        <v>0</v>
      </c>
      <c r="Q499" s="53">
        <v>258970.33</v>
      </c>
    </row>
    <row r="500" spans="1:17" ht="26.45">
      <c r="A500" s="44">
        <v>2024</v>
      </c>
      <c r="B500" s="46" t="s">
        <v>1411</v>
      </c>
      <c r="C500" s="46" t="s">
        <v>8972</v>
      </c>
      <c r="D500" s="44" t="s">
        <v>384</v>
      </c>
      <c r="E500" s="45" t="s">
        <v>1142</v>
      </c>
      <c r="F500" s="54">
        <v>72328.98</v>
      </c>
      <c r="G500" s="54">
        <v>50960.49</v>
      </c>
      <c r="H500" s="54">
        <v>0</v>
      </c>
      <c r="I500" s="54">
        <v>0</v>
      </c>
      <c r="J500" s="54">
        <v>0</v>
      </c>
      <c r="K500" s="54">
        <v>0</v>
      </c>
      <c r="L500" s="54">
        <v>0</v>
      </c>
      <c r="M500" s="43"/>
      <c r="N500" s="54">
        <v>0</v>
      </c>
      <c r="O500" s="54">
        <v>0</v>
      </c>
      <c r="P500" s="54">
        <v>0</v>
      </c>
      <c r="Q500" s="54">
        <v>123289.47</v>
      </c>
    </row>
    <row r="501" spans="1:17" ht="26.45">
      <c r="A501" s="47">
        <v>2024</v>
      </c>
      <c r="B501" s="50" t="s">
        <v>1411</v>
      </c>
      <c r="C501" s="50" t="s">
        <v>8972</v>
      </c>
      <c r="D501" s="47" t="s">
        <v>385</v>
      </c>
      <c r="E501" s="48" t="s">
        <v>1143</v>
      </c>
      <c r="F501" s="53">
        <v>83563.34</v>
      </c>
      <c r="G501" s="53">
        <v>0</v>
      </c>
      <c r="H501" s="53">
        <v>0</v>
      </c>
      <c r="I501" s="53">
        <v>0</v>
      </c>
      <c r="J501" s="53">
        <v>0</v>
      </c>
      <c r="K501" s="53">
        <v>0</v>
      </c>
      <c r="L501" s="53">
        <v>-83563.34</v>
      </c>
      <c r="M501" s="43"/>
      <c r="N501" s="53">
        <v>0</v>
      </c>
      <c r="O501" s="53">
        <v>0</v>
      </c>
      <c r="P501" s="53">
        <v>0</v>
      </c>
      <c r="Q501" s="53">
        <v>0</v>
      </c>
    </row>
    <row r="502" spans="1:17" ht="26.45">
      <c r="A502" s="44">
        <v>2024</v>
      </c>
      <c r="B502" s="46" t="s">
        <v>1411</v>
      </c>
      <c r="C502" s="46" t="s">
        <v>8972</v>
      </c>
      <c r="D502" s="44" t="s">
        <v>386</v>
      </c>
      <c r="E502" s="45" t="s">
        <v>1144</v>
      </c>
      <c r="F502" s="54">
        <v>23480.73</v>
      </c>
      <c r="G502" s="54">
        <v>5272.19</v>
      </c>
      <c r="H502" s="54">
        <v>0</v>
      </c>
      <c r="I502" s="54">
        <v>0</v>
      </c>
      <c r="J502" s="54">
        <v>0</v>
      </c>
      <c r="K502" s="54">
        <v>0</v>
      </c>
      <c r="L502" s="54">
        <v>0</v>
      </c>
      <c r="M502" s="43"/>
      <c r="N502" s="54">
        <v>0</v>
      </c>
      <c r="O502" s="54">
        <v>0</v>
      </c>
      <c r="P502" s="54">
        <v>0</v>
      </c>
      <c r="Q502" s="54">
        <v>28752.92</v>
      </c>
    </row>
    <row r="503" spans="1:17" ht="52.9">
      <c r="A503" s="47">
        <v>2024</v>
      </c>
      <c r="B503" s="50" t="s">
        <v>1411</v>
      </c>
      <c r="C503" s="50" t="s">
        <v>8972</v>
      </c>
      <c r="D503" s="47" t="s">
        <v>1145</v>
      </c>
      <c r="E503" s="48" t="s">
        <v>1146</v>
      </c>
      <c r="F503" s="53">
        <v>141288.74</v>
      </c>
      <c r="G503" s="53">
        <v>57876.6</v>
      </c>
      <c r="H503" s="53">
        <v>0</v>
      </c>
      <c r="I503" s="53">
        <v>0</v>
      </c>
      <c r="J503" s="53">
        <v>0</v>
      </c>
      <c r="K503" s="53">
        <v>0</v>
      </c>
      <c r="L503" s="53">
        <v>0</v>
      </c>
      <c r="M503" s="43"/>
      <c r="N503" s="53">
        <v>0</v>
      </c>
      <c r="O503" s="53">
        <v>0</v>
      </c>
      <c r="P503" s="53">
        <v>0</v>
      </c>
      <c r="Q503" s="53">
        <v>199165.34</v>
      </c>
    </row>
    <row r="504" spans="1:17" ht="52.9">
      <c r="A504" s="44">
        <v>2024</v>
      </c>
      <c r="B504" s="46" t="s">
        <v>1411</v>
      </c>
      <c r="C504" s="46" t="s">
        <v>8972</v>
      </c>
      <c r="D504" s="44" t="s">
        <v>387</v>
      </c>
      <c r="E504" s="45" t="s">
        <v>1146</v>
      </c>
      <c r="F504" s="54">
        <v>893453.23</v>
      </c>
      <c r="G504" s="54">
        <v>0</v>
      </c>
      <c r="H504" s="54">
        <v>0</v>
      </c>
      <c r="I504" s="54">
        <v>0</v>
      </c>
      <c r="J504" s="54">
        <v>0</v>
      </c>
      <c r="K504" s="54">
        <v>0</v>
      </c>
      <c r="L504" s="54">
        <v>0</v>
      </c>
      <c r="M504" s="43"/>
      <c r="N504" s="54">
        <v>0</v>
      </c>
      <c r="O504" s="54">
        <v>0</v>
      </c>
      <c r="P504" s="54">
        <v>0</v>
      </c>
      <c r="Q504" s="54">
        <v>893453.23</v>
      </c>
    </row>
    <row r="505" spans="1:17" ht="26.45">
      <c r="A505" s="47">
        <v>2024</v>
      </c>
      <c r="B505" s="50" t="s">
        <v>1411</v>
      </c>
      <c r="C505" s="50" t="s">
        <v>8972</v>
      </c>
      <c r="D505" s="47" t="s">
        <v>1147</v>
      </c>
      <c r="E505" s="48" t="s">
        <v>1148</v>
      </c>
      <c r="F505" s="53">
        <v>33590.65</v>
      </c>
      <c r="G505" s="53">
        <v>7755.24</v>
      </c>
      <c r="H505" s="53">
        <v>0</v>
      </c>
      <c r="I505" s="53">
        <v>0</v>
      </c>
      <c r="J505" s="53">
        <v>0</v>
      </c>
      <c r="K505" s="53">
        <v>0</v>
      </c>
      <c r="L505" s="53">
        <v>0</v>
      </c>
      <c r="M505" s="43"/>
      <c r="N505" s="53">
        <v>0</v>
      </c>
      <c r="O505" s="53">
        <v>0</v>
      </c>
      <c r="P505" s="53">
        <v>0</v>
      </c>
      <c r="Q505" s="53">
        <v>41345.89</v>
      </c>
    </row>
    <row r="506" spans="1:17" ht="26.45">
      <c r="A506" s="44">
        <v>2024</v>
      </c>
      <c r="B506" s="46" t="s">
        <v>1411</v>
      </c>
      <c r="C506" s="46" t="s">
        <v>8972</v>
      </c>
      <c r="D506" s="44" t="s">
        <v>1149</v>
      </c>
      <c r="E506" s="45" t="s">
        <v>1150</v>
      </c>
      <c r="F506" s="54">
        <v>18785.45</v>
      </c>
      <c r="G506" s="54">
        <v>0</v>
      </c>
      <c r="H506" s="54">
        <v>0</v>
      </c>
      <c r="I506" s="54">
        <v>0</v>
      </c>
      <c r="J506" s="54">
        <v>0</v>
      </c>
      <c r="K506" s="54">
        <v>0</v>
      </c>
      <c r="L506" s="54">
        <v>0</v>
      </c>
      <c r="M506" s="43"/>
      <c r="N506" s="54">
        <v>0</v>
      </c>
      <c r="O506" s="54">
        <v>0</v>
      </c>
      <c r="P506" s="54">
        <v>0</v>
      </c>
      <c r="Q506" s="54">
        <v>18785.45</v>
      </c>
    </row>
    <row r="507" spans="1:17" ht="26.45">
      <c r="A507" s="47">
        <v>2024</v>
      </c>
      <c r="B507" s="50" t="s">
        <v>1411</v>
      </c>
      <c r="C507" s="50" t="s">
        <v>8972</v>
      </c>
      <c r="D507" s="47" t="s">
        <v>388</v>
      </c>
      <c r="E507" s="48" t="s">
        <v>1151</v>
      </c>
      <c r="F507" s="53">
        <v>970275.97</v>
      </c>
      <c r="G507" s="53">
        <v>240790.71</v>
      </c>
      <c r="H507" s="53">
        <v>0</v>
      </c>
      <c r="I507" s="53">
        <v>0</v>
      </c>
      <c r="J507" s="53">
        <v>0</v>
      </c>
      <c r="K507" s="53">
        <v>0</v>
      </c>
      <c r="L507" s="53">
        <v>0</v>
      </c>
      <c r="M507" s="43"/>
      <c r="N507" s="53">
        <v>0</v>
      </c>
      <c r="O507" s="53">
        <v>0</v>
      </c>
      <c r="P507" s="53">
        <v>0</v>
      </c>
      <c r="Q507" s="53">
        <v>1211066.68</v>
      </c>
    </row>
    <row r="508" spans="1:17" ht="26.45">
      <c r="A508" s="44">
        <v>2024</v>
      </c>
      <c r="B508" s="46" t="s">
        <v>1411</v>
      </c>
      <c r="C508" s="46" t="s">
        <v>8972</v>
      </c>
      <c r="D508" s="44" t="s">
        <v>389</v>
      </c>
      <c r="E508" s="45" t="s">
        <v>1152</v>
      </c>
      <c r="F508" s="54">
        <v>81680.42</v>
      </c>
      <c r="G508" s="54">
        <v>0</v>
      </c>
      <c r="H508" s="54">
        <v>0</v>
      </c>
      <c r="I508" s="54">
        <v>0</v>
      </c>
      <c r="J508" s="54">
        <v>0</v>
      </c>
      <c r="K508" s="54">
        <v>0</v>
      </c>
      <c r="L508" s="54">
        <v>0</v>
      </c>
      <c r="M508" s="43"/>
      <c r="N508" s="54">
        <v>0</v>
      </c>
      <c r="O508" s="54">
        <v>0</v>
      </c>
      <c r="P508" s="54">
        <v>0</v>
      </c>
      <c r="Q508" s="54">
        <v>81680.42</v>
      </c>
    </row>
    <row r="509" spans="1:17" ht="26.45">
      <c r="A509" s="47">
        <v>2024</v>
      </c>
      <c r="B509" s="50" t="s">
        <v>1411</v>
      </c>
      <c r="C509" s="50" t="s">
        <v>8972</v>
      </c>
      <c r="D509" s="47" t="s">
        <v>390</v>
      </c>
      <c r="E509" s="48" t="s">
        <v>1153</v>
      </c>
      <c r="F509" s="53">
        <v>82985.039999999994</v>
      </c>
      <c r="G509" s="53">
        <v>0</v>
      </c>
      <c r="H509" s="53">
        <v>0</v>
      </c>
      <c r="I509" s="53">
        <v>0</v>
      </c>
      <c r="J509" s="53">
        <v>0</v>
      </c>
      <c r="K509" s="53">
        <v>0</v>
      </c>
      <c r="L509" s="53">
        <v>0</v>
      </c>
      <c r="M509" s="43"/>
      <c r="N509" s="53">
        <v>0</v>
      </c>
      <c r="O509" s="53">
        <v>0</v>
      </c>
      <c r="P509" s="53">
        <v>0</v>
      </c>
      <c r="Q509" s="53">
        <v>82985.039999999994</v>
      </c>
    </row>
    <row r="510" spans="1:17" ht="26.45">
      <c r="A510" s="44">
        <v>2024</v>
      </c>
      <c r="B510" s="46" t="s">
        <v>1411</v>
      </c>
      <c r="C510" s="46" t="s">
        <v>8972</v>
      </c>
      <c r="D510" s="44" t="s">
        <v>391</v>
      </c>
      <c r="E510" s="45" t="s">
        <v>1154</v>
      </c>
      <c r="F510" s="54">
        <v>46644.53</v>
      </c>
      <c r="G510" s="54">
        <v>41341.379999999997</v>
      </c>
      <c r="H510" s="54">
        <v>0</v>
      </c>
      <c r="I510" s="54">
        <v>0</v>
      </c>
      <c r="J510" s="54">
        <v>0</v>
      </c>
      <c r="K510" s="54">
        <v>0</v>
      </c>
      <c r="L510" s="54">
        <v>0</v>
      </c>
      <c r="M510" s="43"/>
      <c r="N510" s="54">
        <v>0</v>
      </c>
      <c r="O510" s="54">
        <v>0</v>
      </c>
      <c r="P510" s="54">
        <v>0</v>
      </c>
      <c r="Q510" s="54">
        <v>87985.91</v>
      </c>
    </row>
    <row r="511" spans="1:17" ht="26.45">
      <c r="A511" s="47">
        <v>2024</v>
      </c>
      <c r="B511" s="50" t="s">
        <v>1411</v>
      </c>
      <c r="C511" s="50" t="s">
        <v>8972</v>
      </c>
      <c r="D511" s="47" t="s">
        <v>392</v>
      </c>
      <c r="E511" s="48" t="s">
        <v>1155</v>
      </c>
      <c r="F511" s="53">
        <v>2022079.36</v>
      </c>
      <c r="G511" s="53">
        <v>26235.72</v>
      </c>
      <c r="H511" s="53">
        <v>0</v>
      </c>
      <c r="I511" s="53">
        <v>0</v>
      </c>
      <c r="J511" s="53">
        <v>0</v>
      </c>
      <c r="K511" s="53">
        <v>0</v>
      </c>
      <c r="L511" s="53">
        <v>0</v>
      </c>
      <c r="M511" s="43"/>
      <c r="N511" s="53">
        <v>0</v>
      </c>
      <c r="O511" s="53">
        <v>0</v>
      </c>
      <c r="P511" s="53">
        <v>0</v>
      </c>
      <c r="Q511" s="53">
        <v>2048315.08</v>
      </c>
    </row>
    <row r="512" spans="1:17" ht="26.45">
      <c r="A512" s="44">
        <v>2024</v>
      </c>
      <c r="B512" s="46" t="s">
        <v>1411</v>
      </c>
      <c r="C512" s="46" t="s">
        <v>8972</v>
      </c>
      <c r="D512" s="44" t="s">
        <v>393</v>
      </c>
      <c r="E512" s="45" t="s">
        <v>1156</v>
      </c>
      <c r="F512" s="54">
        <v>87876.6</v>
      </c>
      <c r="G512" s="54">
        <v>14589.55</v>
      </c>
      <c r="H512" s="54">
        <v>0</v>
      </c>
      <c r="I512" s="54">
        <v>0</v>
      </c>
      <c r="J512" s="54">
        <v>0</v>
      </c>
      <c r="K512" s="54">
        <v>0</v>
      </c>
      <c r="L512" s="54">
        <v>0</v>
      </c>
      <c r="M512" s="43"/>
      <c r="N512" s="54">
        <v>0</v>
      </c>
      <c r="O512" s="54">
        <v>0</v>
      </c>
      <c r="P512" s="54">
        <v>0</v>
      </c>
      <c r="Q512" s="54">
        <v>102466.15</v>
      </c>
    </row>
    <row r="513" spans="1:17" ht="26.45">
      <c r="A513" s="47">
        <v>2024</v>
      </c>
      <c r="B513" s="50" t="s">
        <v>1411</v>
      </c>
      <c r="C513" s="50" t="s">
        <v>8972</v>
      </c>
      <c r="D513" s="47" t="s">
        <v>394</v>
      </c>
      <c r="E513" s="48" t="s">
        <v>1157</v>
      </c>
      <c r="F513" s="53">
        <v>138257.04</v>
      </c>
      <c r="G513" s="53">
        <v>24760.23</v>
      </c>
      <c r="H513" s="53">
        <v>0</v>
      </c>
      <c r="I513" s="53">
        <v>0</v>
      </c>
      <c r="J513" s="53">
        <v>0</v>
      </c>
      <c r="K513" s="53">
        <v>0</v>
      </c>
      <c r="L513" s="53">
        <v>0</v>
      </c>
      <c r="M513" s="43"/>
      <c r="N513" s="53">
        <v>0</v>
      </c>
      <c r="O513" s="53">
        <v>0</v>
      </c>
      <c r="P513" s="53">
        <v>0</v>
      </c>
      <c r="Q513" s="53">
        <v>163017.26999999999</v>
      </c>
    </row>
    <row r="514" spans="1:17" ht="26.45">
      <c r="A514" s="44">
        <v>2024</v>
      </c>
      <c r="B514" s="46" t="s">
        <v>1411</v>
      </c>
      <c r="C514" s="46" t="s">
        <v>8972</v>
      </c>
      <c r="D514" s="44" t="s">
        <v>395</v>
      </c>
      <c r="E514" s="45" t="s">
        <v>1158</v>
      </c>
      <c r="F514" s="54">
        <v>72772.350000000006</v>
      </c>
      <c r="G514" s="54">
        <v>1728.33</v>
      </c>
      <c r="H514" s="54">
        <v>0</v>
      </c>
      <c r="I514" s="54">
        <v>0</v>
      </c>
      <c r="J514" s="54">
        <v>0</v>
      </c>
      <c r="K514" s="54">
        <v>0</v>
      </c>
      <c r="L514" s="54">
        <v>0</v>
      </c>
      <c r="M514" s="43"/>
      <c r="N514" s="54">
        <v>0</v>
      </c>
      <c r="O514" s="54">
        <v>0</v>
      </c>
      <c r="P514" s="54">
        <v>0</v>
      </c>
      <c r="Q514" s="54">
        <v>74500.679999999993</v>
      </c>
    </row>
    <row r="515" spans="1:17" ht="39.6">
      <c r="A515" s="47">
        <v>2024</v>
      </c>
      <c r="B515" s="50" t="s">
        <v>1411</v>
      </c>
      <c r="C515" s="50" t="s">
        <v>8972</v>
      </c>
      <c r="D515" s="47" t="s">
        <v>396</v>
      </c>
      <c r="E515" s="48" t="s">
        <v>1159</v>
      </c>
      <c r="F515" s="53">
        <v>74132.600000000006</v>
      </c>
      <c r="G515" s="53">
        <v>0</v>
      </c>
      <c r="H515" s="53">
        <v>0</v>
      </c>
      <c r="I515" s="53">
        <v>0</v>
      </c>
      <c r="J515" s="53">
        <v>0</v>
      </c>
      <c r="K515" s="53">
        <v>0</v>
      </c>
      <c r="L515" s="53">
        <v>0</v>
      </c>
      <c r="M515" s="43"/>
      <c r="N515" s="53">
        <v>0</v>
      </c>
      <c r="O515" s="53">
        <v>0</v>
      </c>
      <c r="P515" s="53">
        <v>0</v>
      </c>
      <c r="Q515" s="53">
        <v>74132.600000000006</v>
      </c>
    </row>
    <row r="516" spans="1:17" ht="39.6">
      <c r="A516" s="44">
        <v>2024</v>
      </c>
      <c r="B516" s="46" t="s">
        <v>1411</v>
      </c>
      <c r="C516" s="46" t="s">
        <v>8972</v>
      </c>
      <c r="D516" s="44" t="s">
        <v>397</v>
      </c>
      <c r="E516" s="45" t="s">
        <v>1160</v>
      </c>
      <c r="F516" s="54">
        <v>111013.3</v>
      </c>
      <c r="G516" s="54">
        <v>0</v>
      </c>
      <c r="H516" s="54">
        <v>0</v>
      </c>
      <c r="I516" s="54">
        <v>0</v>
      </c>
      <c r="J516" s="54">
        <v>0</v>
      </c>
      <c r="K516" s="54">
        <v>0</v>
      </c>
      <c r="L516" s="54">
        <v>0</v>
      </c>
      <c r="M516" s="43"/>
      <c r="N516" s="54">
        <v>0</v>
      </c>
      <c r="O516" s="54">
        <v>0</v>
      </c>
      <c r="P516" s="54">
        <v>0</v>
      </c>
      <c r="Q516" s="54">
        <v>111013.3</v>
      </c>
    </row>
    <row r="517" spans="1:17" ht="26.45">
      <c r="A517" s="47">
        <v>2024</v>
      </c>
      <c r="B517" s="50" t="s">
        <v>1411</v>
      </c>
      <c r="C517" s="50" t="s">
        <v>8972</v>
      </c>
      <c r="D517" s="47" t="s">
        <v>398</v>
      </c>
      <c r="E517" s="48" t="s">
        <v>1161</v>
      </c>
      <c r="F517" s="53">
        <v>17599.34</v>
      </c>
      <c r="G517" s="53">
        <v>0</v>
      </c>
      <c r="H517" s="53">
        <v>0</v>
      </c>
      <c r="I517" s="53">
        <v>0</v>
      </c>
      <c r="J517" s="53">
        <v>0</v>
      </c>
      <c r="K517" s="53">
        <v>0</v>
      </c>
      <c r="L517" s="53">
        <v>0</v>
      </c>
      <c r="M517" s="43"/>
      <c r="N517" s="53">
        <v>0</v>
      </c>
      <c r="O517" s="53">
        <v>0</v>
      </c>
      <c r="P517" s="53">
        <v>0</v>
      </c>
      <c r="Q517" s="53">
        <v>17599.34</v>
      </c>
    </row>
    <row r="518" spans="1:17" ht="26.45">
      <c r="A518" s="44">
        <v>2024</v>
      </c>
      <c r="B518" s="46" t="s">
        <v>1411</v>
      </c>
      <c r="C518" s="46" t="s">
        <v>8972</v>
      </c>
      <c r="D518" s="44" t="s">
        <v>399</v>
      </c>
      <c r="E518" s="45" t="s">
        <v>1162</v>
      </c>
      <c r="F518" s="54">
        <v>136723.49</v>
      </c>
      <c r="G518" s="54">
        <v>0</v>
      </c>
      <c r="H518" s="54">
        <v>0</v>
      </c>
      <c r="I518" s="54">
        <v>0</v>
      </c>
      <c r="J518" s="54">
        <v>0</v>
      </c>
      <c r="K518" s="54">
        <v>0</v>
      </c>
      <c r="L518" s="54">
        <v>0</v>
      </c>
      <c r="M518" s="43"/>
      <c r="N518" s="54">
        <v>0</v>
      </c>
      <c r="O518" s="54">
        <v>0</v>
      </c>
      <c r="P518" s="54">
        <v>0</v>
      </c>
      <c r="Q518" s="54">
        <v>136723.49</v>
      </c>
    </row>
    <row r="519" spans="1:17" ht="26.45">
      <c r="A519" s="47">
        <v>2024</v>
      </c>
      <c r="B519" s="50" t="s">
        <v>1411</v>
      </c>
      <c r="C519" s="50" t="s">
        <v>8972</v>
      </c>
      <c r="D519" s="47" t="s">
        <v>400</v>
      </c>
      <c r="E519" s="48" t="s">
        <v>1163</v>
      </c>
      <c r="F519" s="53">
        <v>139800.29999999999</v>
      </c>
      <c r="G519" s="53">
        <v>0</v>
      </c>
      <c r="H519" s="53">
        <v>0</v>
      </c>
      <c r="I519" s="53">
        <v>0</v>
      </c>
      <c r="J519" s="53">
        <v>0</v>
      </c>
      <c r="K519" s="53">
        <v>0</v>
      </c>
      <c r="L519" s="53">
        <v>0</v>
      </c>
      <c r="M519" s="43"/>
      <c r="N519" s="53">
        <v>0</v>
      </c>
      <c r="O519" s="53">
        <v>0</v>
      </c>
      <c r="P519" s="53">
        <v>0</v>
      </c>
      <c r="Q519" s="53">
        <v>139800.29999999999</v>
      </c>
    </row>
    <row r="520" spans="1:17" ht="26.45">
      <c r="A520" s="44">
        <v>2024</v>
      </c>
      <c r="B520" s="46" t="s">
        <v>1411</v>
      </c>
      <c r="C520" s="46" t="s">
        <v>8972</v>
      </c>
      <c r="D520" s="44" t="s">
        <v>401</v>
      </c>
      <c r="E520" s="45" t="s">
        <v>1164</v>
      </c>
      <c r="F520" s="54">
        <v>1802970.79</v>
      </c>
      <c r="G520" s="54">
        <v>462907.52</v>
      </c>
      <c r="H520" s="54">
        <v>0</v>
      </c>
      <c r="I520" s="54">
        <v>0</v>
      </c>
      <c r="J520" s="54">
        <v>0</v>
      </c>
      <c r="K520" s="54">
        <v>0</v>
      </c>
      <c r="L520" s="54">
        <v>0</v>
      </c>
      <c r="M520" s="43"/>
      <c r="N520" s="54">
        <v>0</v>
      </c>
      <c r="O520" s="54">
        <v>0</v>
      </c>
      <c r="P520" s="54">
        <v>0</v>
      </c>
      <c r="Q520" s="54">
        <v>2265878.31</v>
      </c>
    </row>
    <row r="521" spans="1:17" ht="26.45">
      <c r="A521" s="47">
        <v>2024</v>
      </c>
      <c r="B521" s="50" t="s">
        <v>1411</v>
      </c>
      <c r="C521" s="50" t="s">
        <v>8972</v>
      </c>
      <c r="D521" s="47" t="s">
        <v>402</v>
      </c>
      <c r="E521" s="48" t="s">
        <v>1165</v>
      </c>
      <c r="F521" s="53">
        <v>97486.81</v>
      </c>
      <c r="G521" s="53">
        <v>48475.05</v>
      </c>
      <c r="H521" s="53">
        <v>0</v>
      </c>
      <c r="I521" s="53">
        <v>0</v>
      </c>
      <c r="J521" s="53">
        <v>0</v>
      </c>
      <c r="K521" s="53">
        <v>0</v>
      </c>
      <c r="L521" s="53">
        <v>0</v>
      </c>
      <c r="M521" s="43"/>
      <c r="N521" s="53">
        <v>0</v>
      </c>
      <c r="O521" s="53">
        <v>0</v>
      </c>
      <c r="P521" s="53">
        <v>0</v>
      </c>
      <c r="Q521" s="53">
        <v>145961.85999999999</v>
      </c>
    </row>
    <row r="522" spans="1:17" ht="26.45">
      <c r="A522" s="44">
        <v>2024</v>
      </c>
      <c r="B522" s="46" t="s">
        <v>1411</v>
      </c>
      <c r="C522" s="46" t="s">
        <v>8972</v>
      </c>
      <c r="D522" s="44" t="s">
        <v>403</v>
      </c>
      <c r="E522" s="45" t="s">
        <v>1166</v>
      </c>
      <c r="F522" s="54">
        <v>82157.88</v>
      </c>
      <c r="G522" s="54">
        <v>13437.76</v>
      </c>
      <c r="H522" s="54">
        <v>0</v>
      </c>
      <c r="I522" s="54">
        <v>0</v>
      </c>
      <c r="J522" s="54">
        <v>0</v>
      </c>
      <c r="K522" s="54">
        <v>0</v>
      </c>
      <c r="L522" s="54">
        <v>0</v>
      </c>
      <c r="M522" s="43"/>
      <c r="N522" s="54">
        <v>0</v>
      </c>
      <c r="O522" s="54">
        <v>0</v>
      </c>
      <c r="P522" s="54">
        <v>0</v>
      </c>
      <c r="Q522" s="54">
        <v>95595.64</v>
      </c>
    </row>
    <row r="523" spans="1:17" ht="26.45">
      <c r="A523" s="47">
        <v>2024</v>
      </c>
      <c r="B523" s="50" t="s">
        <v>1411</v>
      </c>
      <c r="C523" s="50" t="s">
        <v>8972</v>
      </c>
      <c r="D523" s="47" t="s">
        <v>404</v>
      </c>
      <c r="E523" s="48" t="s">
        <v>1167</v>
      </c>
      <c r="F523" s="53">
        <v>312352.2</v>
      </c>
      <c r="G523" s="53">
        <v>32823.56</v>
      </c>
      <c r="H523" s="53">
        <v>0</v>
      </c>
      <c r="I523" s="53">
        <v>0</v>
      </c>
      <c r="J523" s="53">
        <v>0</v>
      </c>
      <c r="K523" s="53">
        <v>0</v>
      </c>
      <c r="L523" s="53">
        <v>0</v>
      </c>
      <c r="M523" s="43"/>
      <c r="N523" s="53">
        <v>0</v>
      </c>
      <c r="O523" s="53">
        <v>0</v>
      </c>
      <c r="P523" s="53">
        <v>0</v>
      </c>
      <c r="Q523" s="53">
        <v>345175.76</v>
      </c>
    </row>
    <row r="524" spans="1:17" ht="26.45">
      <c r="A524" s="44">
        <v>2024</v>
      </c>
      <c r="B524" s="46" t="s">
        <v>1411</v>
      </c>
      <c r="C524" s="46" t="s">
        <v>8972</v>
      </c>
      <c r="D524" s="44" t="s">
        <v>405</v>
      </c>
      <c r="E524" s="45" t="s">
        <v>1168</v>
      </c>
      <c r="F524" s="54">
        <v>180542.56</v>
      </c>
      <c r="G524" s="54">
        <v>156835.89000000001</v>
      </c>
      <c r="H524" s="54">
        <v>0</v>
      </c>
      <c r="I524" s="54">
        <v>0</v>
      </c>
      <c r="J524" s="54">
        <v>0</v>
      </c>
      <c r="K524" s="54">
        <v>0</v>
      </c>
      <c r="L524" s="54">
        <v>0</v>
      </c>
      <c r="M524" s="43"/>
      <c r="N524" s="54">
        <v>0</v>
      </c>
      <c r="O524" s="54">
        <v>0</v>
      </c>
      <c r="P524" s="54">
        <v>0</v>
      </c>
      <c r="Q524" s="54">
        <v>337378.45</v>
      </c>
    </row>
    <row r="525" spans="1:17" ht="26.45">
      <c r="A525" s="47">
        <v>2024</v>
      </c>
      <c r="B525" s="50" t="s">
        <v>1411</v>
      </c>
      <c r="C525" s="50" t="s">
        <v>8972</v>
      </c>
      <c r="D525" s="47" t="s">
        <v>406</v>
      </c>
      <c r="E525" s="48" t="s">
        <v>1169</v>
      </c>
      <c r="F525" s="53">
        <v>528992.59</v>
      </c>
      <c r="G525" s="53">
        <v>27958.39</v>
      </c>
      <c r="H525" s="53">
        <v>0</v>
      </c>
      <c r="I525" s="53">
        <v>0</v>
      </c>
      <c r="J525" s="53">
        <v>0</v>
      </c>
      <c r="K525" s="53">
        <v>0</v>
      </c>
      <c r="L525" s="53">
        <v>0</v>
      </c>
      <c r="M525" s="43"/>
      <c r="N525" s="53">
        <v>0</v>
      </c>
      <c r="O525" s="53">
        <v>0</v>
      </c>
      <c r="P525" s="53">
        <v>0</v>
      </c>
      <c r="Q525" s="53">
        <v>556950.98</v>
      </c>
    </row>
    <row r="526" spans="1:17" ht="26.45">
      <c r="A526" s="44">
        <v>2024</v>
      </c>
      <c r="B526" s="46" t="s">
        <v>1411</v>
      </c>
      <c r="C526" s="46" t="s">
        <v>8972</v>
      </c>
      <c r="D526" s="44" t="s">
        <v>407</v>
      </c>
      <c r="E526" s="45" t="s">
        <v>1170</v>
      </c>
      <c r="F526" s="54">
        <v>615957.54</v>
      </c>
      <c r="G526" s="54">
        <v>246170.56</v>
      </c>
      <c r="H526" s="54">
        <v>0</v>
      </c>
      <c r="I526" s="54">
        <v>0</v>
      </c>
      <c r="J526" s="54">
        <v>0</v>
      </c>
      <c r="K526" s="54">
        <v>0</v>
      </c>
      <c r="L526" s="54">
        <v>0</v>
      </c>
      <c r="M526" s="43"/>
      <c r="N526" s="54">
        <v>0</v>
      </c>
      <c r="O526" s="54">
        <v>0</v>
      </c>
      <c r="P526" s="54">
        <v>0</v>
      </c>
      <c r="Q526" s="54">
        <v>862128.1</v>
      </c>
    </row>
    <row r="527" spans="1:17" ht="26.45">
      <c r="A527" s="47">
        <v>2024</v>
      </c>
      <c r="B527" s="50" t="s">
        <v>1411</v>
      </c>
      <c r="C527" s="50" t="s">
        <v>8972</v>
      </c>
      <c r="D527" s="47" t="s">
        <v>408</v>
      </c>
      <c r="E527" s="48" t="s">
        <v>1171</v>
      </c>
      <c r="F527" s="53">
        <v>24374.240000000002</v>
      </c>
      <c r="G527" s="53">
        <v>0</v>
      </c>
      <c r="H527" s="53">
        <v>0</v>
      </c>
      <c r="I527" s="53">
        <v>0</v>
      </c>
      <c r="J527" s="53">
        <v>0</v>
      </c>
      <c r="K527" s="53">
        <v>0</v>
      </c>
      <c r="L527" s="53">
        <v>0</v>
      </c>
      <c r="M527" s="43"/>
      <c r="N527" s="53">
        <v>0</v>
      </c>
      <c r="O527" s="53">
        <v>0</v>
      </c>
      <c r="P527" s="53">
        <v>0</v>
      </c>
      <c r="Q527" s="53">
        <v>24374.240000000002</v>
      </c>
    </row>
    <row r="528" spans="1:17" ht="26.45">
      <c r="A528" s="44">
        <v>2024</v>
      </c>
      <c r="B528" s="46" t="s">
        <v>1411</v>
      </c>
      <c r="C528" s="46" t="s">
        <v>8972</v>
      </c>
      <c r="D528" s="44" t="s">
        <v>409</v>
      </c>
      <c r="E528" s="45" t="s">
        <v>1172</v>
      </c>
      <c r="F528" s="54">
        <v>1070856.47</v>
      </c>
      <c r="G528" s="54">
        <v>339114.9</v>
      </c>
      <c r="H528" s="54">
        <v>0</v>
      </c>
      <c r="I528" s="54">
        <v>0</v>
      </c>
      <c r="J528" s="54">
        <v>0</v>
      </c>
      <c r="K528" s="54">
        <v>0</v>
      </c>
      <c r="L528" s="54">
        <v>0</v>
      </c>
      <c r="M528" s="43"/>
      <c r="N528" s="54">
        <v>0</v>
      </c>
      <c r="O528" s="54">
        <v>0</v>
      </c>
      <c r="P528" s="54">
        <v>0</v>
      </c>
      <c r="Q528" s="54">
        <v>1409971.37</v>
      </c>
    </row>
    <row r="529" spans="1:17" ht="26.45">
      <c r="A529" s="47">
        <v>2024</v>
      </c>
      <c r="B529" s="50" t="s">
        <v>1411</v>
      </c>
      <c r="C529" s="50" t="s">
        <v>8972</v>
      </c>
      <c r="D529" s="47" t="s">
        <v>410</v>
      </c>
      <c r="E529" s="48" t="s">
        <v>1173</v>
      </c>
      <c r="F529" s="53">
        <v>33315.129999999997</v>
      </c>
      <c r="G529" s="53">
        <v>3879.02</v>
      </c>
      <c r="H529" s="53">
        <v>0</v>
      </c>
      <c r="I529" s="53">
        <v>0</v>
      </c>
      <c r="J529" s="53">
        <v>0</v>
      </c>
      <c r="K529" s="53">
        <v>0</v>
      </c>
      <c r="L529" s="53">
        <v>0</v>
      </c>
      <c r="M529" s="43"/>
      <c r="N529" s="53">
        <v>0</v>
      </c>
      <c r="O529" s="53">
        <v>0</v>
      </c>
      <c r="P529" s="53">
        <v>0</v>
      </c>
      <c r="Q529" s="53">
        <v>37194.15</v>
      </c>
    </row>
    <row r="530" spans="1:17" ht="39.6">
      <c r="A530" s="44">
        <v>2024</v>
      </c>
      <c r="B530" s="46" t="s">
        <v>1411</v>
      </c>
      <c r="C530" s="46" t="s">
        <v>8972</v>
      </c>
      <c r="D530" s="44" t="s">
        <v>1174</v>
      </c>
      <c r="E530" s="45" t="s">
        <v>1175</v>
      </c>
      <c r="F530" s="54">
        <v>32153.95</v>
      </c>
      <c r="G530" s="54">
        <v>0</v>
      </c>
      <c r="H530" s="54">
        <v>0</v>
      </c>
      <c r="I530" s="54">
        <v>0</v>
      </c>
      <c r="J530" s="54">
        <v>0</v>
      </c>
      <c r="K530" s="54">
        <v>0</v>
      </c>
      <c r="L530" s="54">
        <v>0</v>
      </c>
      <c r="M530" s="43"/>
      <c r="N530" s="54">
        <v>0</v>
      </c>
      <c r="O530" s="54">
        <v>0</v>
      </c>
      <c r="P530" s="54">
        <v>0</v>
      </c>
      <c r="Q530" s="54">
        <v>32153.95</v>
      </c>
    </row>
    <row r="531" spans="1:17" ht="26.45">
      <c r="A531" s="47">
        <v>2024</v>
      </c>
      <c r="B531" s="50" t="s">
        <v>1411</v>
      </c>
      <c r="C531" s="50" t="s">
        <v>8972</v>
      </c>
      <c r="D531" s="47" t="s">
        <v>411</v>
      </c>
      <c r="E531" s="48" t="s">
        <v>1176</v>
      </c>
      <c r="F531" s="53">
        <v>345935.52</v>
      </c>
      <c r="G531" s="53">
        <v>174532.87</v>
      </c>
      <c r="H531" s="53">
        <v>0</v>
      </c>
      <c r="I531" s="53">
        <v>0</v>
      </c>
      <c r="J531" s="53">
        <v>0</v>
      </c>
      <c r="K531" s="53">
        <v>0</v>
      </c>
      <c r="L531" s="53">
        <v>0</v>
      </c>
      <c r="M531" s="43"/>
      <c r="N531" s="53">
        <v>0</v>
      </c>
      <c r="O531" s="53">
        <v>0</v>
      </c>
      <c r="P531" s="53">
        <v>0</v>
      </c>
      <c r="Q531" s="53">
        <v>520468.39</v>
      </c>
    </row>
    <row r="532" spans="1:17" ht="26.45">
      <c r="A532" s="44">
        <v>2024</v>
      </c>
      <c r="B532" s="46" t="s">
        <v>1411</v>
      </c>
      <c r="C532" s="46" t="s">
        <v>8972</v>
      </c>
      <c r="D532" s="44" t="s">
        <v>412</v>
      </c>
      <c r="E532" s="45" t="s">
        <v>1177</v>
      </c>
      <c r="F532" s="54">
        <v>3890.93</v>
      </c>
      <c r="G532" s="54">
        <v>4313.49</v>
      </c>
      <c r="H532" s="54">
        <v>0</v>
      </c>
      <c r="I532" s="54">
        <v>0</v>
      </c>
      <c r="J532" s="54">
        <v>0</v>
      </c>
      <c r="K532" s="54">
        <v>0</v>
      </c>
      <c r="L532" s="54">
        <v>0</v>
      </c>
      <c r="M532" s="43"/>
      <c r="N532" s="54">
        <v>0</v>
      </c>
      <c r="O532" s="54">
        <v>0</v>
      </c>
      <c r="P532" s="54">
        <v>0</v>
      </c>
      <c r="Q532" s="54">
        <v>8204.42</v>
      </c>
    </row>
    <row r="533" spans="1:17" ht="26.45">
      <c r="A533" s="47">
        <v>2024</v>
      </c>
      <c r="B533" s="50" t="s">
        <v>1411</v>
      </c>
      <c r="C533" s="50" t="s">
        <v>8972</v>
      </c>
      <c r="D533" s="47" t="s">
        <v>413</v>
      </c>
      <c r="E533" s="48" t="s">
        <v>1178</v>
      </c>
      <c r="F533" s="53">
        <v>21732.73</v>
      </c>
      <c r="G533" s="53">
        <v>5846.98</v>
      </c>
      <c r="H533" s="53">
        <v>0</v>
      </c>
      <c r="I533" s="53">
        <v>0</v>
      </c>
      <c r="J533" s="53">
        <v>0</v>
      </c>
      <c r="K533" s="53">
        <v>0</v>
      </c>
      <c r="L533" s="53">
        <v>0</v>
      </c>
      <c r="M533" s="43"/>
      <c r="N533" s="53">
        <v>0</v>
      </c>
      <c r="O533" s="53">
        <v>0</v>
      </c>
      <c r="P533" s="53">
        <v>0</v>
      </c>
      <c r="Q533" s="53">
        <v>27579.71</v>
      </c>
    </row>
    <row r="534" spans="1:17" ht="26.45">
      <c r="A534" s="44">
        <v>2024</v>
      </c>
      <c r="B534" s="46" t="s">
        <v>1411</v>
      </c>
      <c r="C534" s="46" t="s">
        <v>8972</v>
      </c>
      <c r="D534" s="44" t="s">
        <v>414</v>
      </c>
      <c r="E534" s="45" t="s">
        <v>1179</v>
      </c>
      <c r="F534" s="54">
        <v>115595.84</v>
      </c>
      <c r="G534" s="54">
        <v>0</v>
      </c>
      <c r="H534" s="54">
        <v>0</v>
      </c>
      <c r="I534" s="54">
        <v>0</v>
      </c>
      <c r="J534" s="54">
        <v>0</v>
      </c>
      <c r="K534" s="54">
        <v>0</v>
      </c>
      <c r="L534" s="54">
        <v>0</v>
      </c>
      <c r="M534" s="43"/>
      <c r="N534" s="54">
        <v>0</v>
      </c>
      <c r="O534" s="54">
        <v>0</v>
      </c>
      <c r="P534" s="54">
        <v>0</v>
      </c>
      <c r="Q534" s="54">
        <v>115595.84</v>
      </c>
    </row>
    <row r="535" spans="1:17" ht="26.45">
      <c r="A535" s="47">
        <v>2024</v>
      </c>
      <c r="B535" s="50" t="s">
        <v>1411</v>
      </c>
      <c r="C535" s="50" t="s">
        <v>8972</v>
      </c>
      <c r="D535" s="47" t="s">
        <v>415</v>
      </c>
      <c r="E535" s="48" t="s">
        <v>1180</v>
      </c>
      <c r="F535" s="53">
        <v>174269.5</v>
      </c>
      <c r="G535" s="53">
        <v>37831.74</v>
      </c>
      <c r="H535" s="53">
        <v>0</v>
      </c>
      <c r="I535" s="53">
        <v>0</v>
      </c>
      <c r="J535" s="53">
        <v>0</v>
      </c>
      <c r="K535" s="53">
        <v>0</v>
      </c>
      <c r="L535" s="53">
        <v>0</v>
      </c>
      <c r="M535" s="43"/>
      <c r="N535" s="53">
        <v>0</v>
      </c>
      <c r="O535" s="53">
        <v>0</v>
      </c>
      <c r="P535" s="53">
        <v>0</v>
      </c>
      <c r="Q535" s="53">
        <v>212101.24</v>
      </c>
    </row>
    <row r="536" spans="1:17" ht="26.45">
      <c r="A536" s="44">
        <v>2024</v>
      </c>
      <c r="B536" s="46" t="s">
        <v>1411</v>
      </c>
      <c r="C536" s="46" t="s">
        <v>8972</v>
      </c>
      <c r="D536" s="44" t="s">
        <v>1181</v>
      </c>
      <c r="E536" s="45" t="s">
        <v>1182</v>
      </c>
      <c r="F536" s="54">
        <v>433.52</v>
      </c>
      <c r="G536" s="54">
        <v>0</v>
      </c>
      <c r="H536" s="54">
        <v>0</v>
      </c>
      <c r="I536" s="54">
        <v>0</v>
      </c>
      <c r="J536" s="54">
        <v>0</v>
      </c>
      <c r="K536" s="54">
        <v>0</v>
      </c>
      <c r="L536" s="54">
        <v>0</v>
      </c>
      <c r="M536" s="43"/>
      <c r="N536" s="54">
        <v>0</v>
      </c>
      <c r="O536" s="54">
        <v>0</v>
      </c>
      <c r="P536" s="54">
        <v>0</v>
      </c>
      <c r="Q536" s="54">
        <v>433.52</v>
      </c>
    </row>
    <row r="537" spans="1:17" ht="26.45">
      <c r="A537" s="47">
        <v>2024</v>
      </c>
      <c r="B537" s="50" t="s">
        <v>1411</v>
      </c>
      <c r="C537" s="50" t="s">
        <v>8972</v>
      </c>
      <c r="D537" s="47" t="s">
        <v>416</v>
      </c>
      <c r="E537" s="48" t="s">
        <v>1183</v>
      </c>
      <c r="F537" s="53">
        <v>42078.46</v>
      </c>
      <c r="G537" s="53">
        <v>226.49</v>
      </c>
      <c r="H537" s="53">
        <v>0</v>
      </c>
      <c r="I537" s="53">
        <v>0</v>
      </c>
      <c r="J537" s="53">
        <v>0</v>
      </c>
      <c r="K537" s="53">
        <v>0</v>
      </c>
      <c r="L537" s="53">
        <v>0</v>
      </c>
      <c r="M537" s="43"/>
      <c r="N537" s="53">
        <v>0</v>
      </c>
      <c r="O537" s="53">
        <v>0</v>
      </c>
      <c r="P537" s="53">
        <v>0</v>
      </c>
      <c r="Q537" s="53">
        <v>42304.95</v>
      </c>
    </row>
    <row r="538" spans="1:17" ht="39.6">
      <c r="A538" s="44">
        <v>2024</v>
      </c>
      <c r="B538" s="46" t="s">
        <v>1411</v>
      </c>
      <c r="C538" s="46" t="s">
        <v>8972</v>
      </c>
      <c r="D538" s="44" t="s">
        <v>417</v>
      </c>
      <c r="E538" s="45" t="s">
        <v>1184</v>
      </c>
      <c r="F538" s="54">
        <v>13854.61</v>
      </c>
      <c r="G538" s="54">
        <v>0</v>
      </c>
      <c r="H538" s="54">
        <v>0</v>
      </c>
      <c r="I538" s="54">
        <v>0</v>
      </c>
      <c r="J538" s="54">
        <v>0</v>
      </c>
      <c r="K538" s="54">
        <v>0</v>
      </c>
      <c r="L538" s="54">
        <v>0</v>
      </c>
      <c r="M538" s="43"/>
      <c r="N538" s="54">
        <v>0</v>
      </c>
      <c r="O538" s="54">
        <v>0</v>
      </c>
      <c r="P538" s="54">
        <v>0</v>
      </c>
      <c r="Q538" s="54">
        <v>13854.61</v>
      </c>
    </row>
    <row r="539" spans="1:17" ht="26.45">
      <c r="A539" s="47">
        <v>2024</v>
      </c>
      <c r="B539" s="50" t="s">
        <v>1411</v>
      </c>
      <c r="C539" s="50" t="s">
        <v>8972</v>
      </c>
      <c r="D539" s="47" t="s">
        <v>418</v>
      </c>
      <c r="E539" s="48" t="s">
        <v>1185</v>
      </c>
      <c r="F539" s="53">
        <v>691686.95</v>
      </c>
      <c r="G539" s="53">
        <v>36305.370000000003</v>
      </c>
      <c r="H539" s="53">
        <v>0</v>
      </c>
      <c r="I539" s="53">
        <v>0</v>
      </c>
      <c r="J539" s="53">
        <v>0</v>
      </c>
      <c r="K539" s="53">
        <v>0</v>
      </c>
      <c r="L539" s="53">
        <v>0</v>
      </c>
      <c r="M539" s="43"/>
      <c r="N539" s="53">
        <v>0</v>
      </c>
      <c r="O539" s="53">
        <v>0</v>
      </c>
      <c r="P539" s="53">
        <v>0</v>
      </c>
      <c r="Q539" s="53">
        <v>727992.31999999995</v>
      </c>
    </row>
    <row r="540" spans="1:17" ht="39.6">
      <c r="A540" s="44">
        <v>2024</v>
      </c>
      <c r="B540" s="46" t="s">
        <v>1411</v>
      </c>
      <c r="C540" s="46" t="s">
        <v>8972</v>
      </c>
      <c r="D540" s="44" t="s">
        <v>1186</v>
      </c>
      <c r="E540" s="45" t="s">
        <v>1187</v>
      </c>
      <c r="F540" s="54">
        <v>86393.02</v>
      </c>
      <c r="G540" s="54">
        <v>8176.72</v>
      </c>
      <c r="H540" s="54">
        <v>0</v>
      </c>
      <c r="I540" s="54">
        <v>0</v>
      </c>
      <c r="J540" s="54">
        <v>0</v>
      </c>
      <c r="K540" s="54">
        <v>0</v>
      </c>
      <c r="L540" s="54">
        <v>0</v>
      </c>
      <c r="M540" s="43"/>
      <c r="N540" s="54">
        <v>0</v>
      </c>
      <c r="O540" s="54">
        <v>0</v>
      </c>
      <c r="P540" s="54">
        <v>0</v>
      </c>
      <c r="Q540" s="54">
        <v>94569.74</v>
      </c>
    </row>
    <row r="541" spans="1:17" ht="26.45">
      <c r="A541" s="47">
        <v>2024</v>
      </c>
      <c r="B541" s="50" t="s">
        <v>1411</v>
      </c>
      <c r="C541" s="50" t="s">
        <v>8972</v>
      </c>
      <c r="D541" s="47" t="s">
        <v>1188</v>
      </c>
      <c r="E541" s="48" t="s">
        <v>1189</v>
      </c>
      <c r="F541" s="53">
        <v>19763.78</v>
      </c>
      <c r="G541" s="53">
        <v>1193.0999999999999</v>
      </c>
      <c r="H541" s="53">
        <v>0</v>
      </c>
      <c r="I541" s="53">
        <v>0</v>
      </c>
      <c r="J541" s="53">
        <v>0</v>
      </c>
      <c r="K541" s="53">
        <v>0</v>
      </c>
      <c r="L541" s="53">
        <v>0</v>
      </c>
      <c r="M541" s="43"/>
      <c r="N541" s="53">
        <v>0</v>
      </c>
      <c r="O541" s="53">
        <v>0</v>
      </c>
      <c r="P541" s="53">
        <v>0</v>
      </c>
      <c r="Q541" s="53">
        <v>20956.88</v>
      </c>
    </row>
    <row r="542" spans="1:17" ht="39.6">
      <c r="A542" s="44">
        <v>2024</v>
      </c>
      <c r="B542" s="46" t="s">
        <v>1411</v>
      </c>
      <c r="C542" s="46" t="s">
        <v>8972</v>
      </c>
      <c r="D542" s="44" t="s">
        <v>1190</v>
      </c>
      <c r="E542" s="45" t="s">
        <v>1191</v>
      </c>
      <c r="F542" s="54">
        <v>11717.53</v>
      </c>
      <c r="G542" s="54">
        <v>756.43</v>
      </c>
      <c r="H542" s="54">
        <v>0</v>
      </c>
      <c r="I542" s="54">
        <v>0</v>
      </c>
      <c r="J542" s="54">
        <v>0</v>
      </c>
      <c r="K542" s="54">
        <v>0</v>
      </c>
      <c r="L542" s="54">
        <v>0</v>
      </c>
      <c r="M542" s="43"/>
      <c r="N542" s="54">
        <v>0</v>
      </c>
      <c r="O542" s="54">
        <v>0</v>
      </c>
      <c r="P542" s="54">
        <v>0</v>
      </c>
      <c r="Q542" s="54">
        <v>12473.96</v>
      </c>
    </row>
    <row r="543" spans="1:17" ht="26.45">
      <c r="A543" s="47">
        <v>2024</v>
      </c>
      <c r="B543" s="50" t="s">
        <v>1411</v>
      </c>
      <c r="C543" s="50" t="s">
        <v>8972</v>
      </c>
      <c r="D543" s="47" t="s">
        <v>419</v>
      </c>
      <c r="E543" s="48" t="s">
        <v>1192</v>
      </c>
      <c r="F543" s="53">
        <v>47914.64</v>
      </c>
      <c r="G543" s="53">
        <v>0</v>
      </c>
      <c r="H543" s="53">
        <v>0</v>
      </c>
      <c r="I543" s="53">
        <v>0</v>
      </c>
      <c r="J543" s="53">
        <v>0</v>
      </c>
      <c r="K543" s="53">
        <v>0</v>
      </c>
      <c r="L543" s="53">
        <v>0</v>
      </c>
      <c r="M543" s="43"/>
      <c r="N543" s="53">
        <v>0</v>
      </c>
      <c r="O543" s="53">
        <v>0</v>
      </c>
      <c r="P543" s="53">
        <v>0</v>
      </c>
      <c r="Q543" s="53">
        <v>47914.64</v>
      </c>
    </row>
    <row r="544" spans="1:17" ht="39.6">
      <c r="A544" s="44">
        <v>2024</v>
      </c>
      <c r="B544" s="46" t="s">
        <v>1411</v>
      </c>
      <c r="C544" s="46" t="s">
        <v>8972</v>
      </c>
      <c r="D544" s="44" t="s">
        <v>420</v>
      </c>
      <c r="E544" s="45" t="s">
        <v>1193</v>
      </c>
      <c r="F544" s="54">
        <v>41432.54</v>
      </c>
      <c r="G544" s="54">
        <v>0</v>
      </c>
      <c r="H544" s="54">
        <v>0</v>
      </c>
      <c r="I544" s="54">
        <v>0</v>
      </c>
      <c r="J544" s="54">
        <v>0</v>
      </c>
      <c r="K544" s="54">
        <v>0</v>
      </c>
      <c r="L544" s="54">
        <v>0</v>
      </c>
      <c r="M544" s="43"/>
      <c r="N544" s="54">
        <v>0</v>
      </c>
      <c r="O544" s="54">
        <v>0</v>
      </c>
      <c r="P544" s="54">
        <v>0</v>
      </c>
      <c r="Q544" s="54">
        <v>41432.54</v>
      </c>
    </row>
    <row r="545" spans="1:17" ht="26.45">
      <c r="A545" s="47">
        <v>2024</v>
      </c>
      <c r="B545" s="50" t="s">
        <v>1411</v>
      </c>
      <c r="C545" s="50" t="s">
        <v>8972</v>
      </c>
      <c r="D545" s="47" t="s">
        <v>421</v>
      </c>
      <c r="E545" s="48" t="s">
        <v>1194</v>
      </c>
      <c r="F545" s="53">
        <v>18914.25</v>
      </c>
      <c r="G545" s="53">
        <v>3171.24</v>
      </c>
      <c r="H545" s="53">
        <v>0</v>
      </c>
      <c r="I545" s="53">
        <v>0</v>
      </c>
      <c r="J545" s="53">
        <v>0</v>
      </c>
      <c r="K545" s="53">
        <v>0</v>
      </c>
      <c r="L545" s="53">
        <v>0</v>
      </c>
      <c r="M545" s="43"/>
      <c r="N545" s="53">
        <v>0</v>
      </c>
      <c r="O545" s="53">
        <v>0</v>
      </c>
      <c r="P545" s="53">
        <v>0</v>
      </c>
      <c r="Q545" s="53">
        <v>22085.49</v>
      </c>
    </row>
    <row r="546" spans="1:17" ht="26.45">
      <c r="A546" s="44">
        <v>2024</v>
      </c>
      <c r="B546" s="46" t="s">
        <v>1411</v>
      </c>
      <c r="C546" s="46" t="s">
        <v>8972</v>
      </c>
      <c r="D546" s="44" t="s">
        <v>1195</v>
      </c>
      <c r="E546" s="45" t="s">
        <v>1196</v>
      </c>
      <c r="F546" s="54">
        <v>114445.08</v>
      </c>
      <c r="G546" s="54">
        <v>243.14</v>
      </c>
      <c r="H546" s="54">
        <v>0</v>
      </c>
      <c r="I546" s="54">
        <v>0</v>
      </c>
      <c r="J546" s="54">
        <v>0</v>
      </c>
      <c r="K546" s="54">
        <v>0</v>
      </c>
      <c r="L546" s="54">
        <v>0</v>
      </c>
      <c r="M546" s="43"/>
      <c r="N546" s="54">
        <v>0</v>
      </c>
      <c r="O546" s="54">
        <v>0</v>
      </c>
      <c r="P546" s="54">
        <v>0</v>
      </c>
      <c r="Q546" s="54">
        <v>114688.22</v>
      </c>
    </row>
    <row r="547" spans="1:17" ht="26.45">
      <c r="A547" s="47">
        <v>2024</v>
      </c>
      <c r="B547" s="50" t="s">
        <v>1411</v>
      </c>
      <c r="C547" s="50" t="s">
        <v>8972</v>
      </c>
      <c r="D547" s="47" t="s">
        <v>422</v>
      </c>
      <c r="E547" s="48" t="s">
        <v>1197</v>
      </c>
      <c r="F547" s="53">
        <v>4292313.82</v>
      </c>
      <c r="G547" s="53">
        <v>938608.65</v>
      </c>
      <c r="H547" s="53">
        <v>0</v>
      </c>
      <c r="I547" s="53">
        <v>0</v>
      </c>
      <c r="J547" s="53">
        <v>0</v>
      </c>
      <c r="K547" s="53">
        <v>0</v>
      </c>
      <c r="L547" s="53">
        <v>0</v>
      </c>
      <c r="M547" s="43"/>
      <c r="N547" s="53">
        <v>0</v>
      </c>
      <c r="O547" s="53">
        <v>0</v>
      </c>
      <c r="P547" s="53">
        <v>0</v>
      </c>
      <c r="Q547" s="53">
        <v>5230922.47</v>
      </c>
    </row>
    <row r="548" spans="1:17" ht="26.45">
      <c r="A548" s="44">
        <v>2024</v>
      </c>
      <c r="B548" s="46" t="s">
        <v>1411</v>
      </c>
      <c r="C548" s="46" t="s">
        <v>8972</v>
      </c>
      <c r="D548" s="44" t="s">
        <v>423</v>
      </c>
      <c r="E548" s="45" t="s">
        <v>1198</v>
      </c>
      <c r="F548" s="54">
        <v>26752.35</v>
      </c>
      <c r="G548" s="54">
        <v>0</v>
      </c>
      <c r="H548" s="54">
        <v>0</v>
      </c>
      <c r="I548" s="54">
        <v>0</v>
      </c>
      <c r="J548" s="54">
        <v>0</v>
      </c>
      <c r="K548" s="54">
        <v>0</v>
      </c>
      <c r="L548" s="54">
        <v>0</v>
      </c>
      <c r="M548" s="43"/>
      <c r="N548" s="54">
        <v>0</v>
      </c>
      <c r="O548" s="54">
        <v>0</v>
      </c>
      <c r="P548" s="54">
        <v>0</v>
      </c>
      <c r="Q548" s="54">
        <v>26752.35</v>
      </c>
    </row>
    <row r="549" spans="1:17" ht="26.45">
      <c r="A549" s="47">
        <v>2024</v>
      </c>
      <c r="B549" s="50" t="s">
        <v>1411</v>
      </c>
      <c r="C549" s="50" t="s">
        <v>8972</v>
      </c>
      <c r="D549" s="47" t="s">
        <v>424</v>
      </c>
      <c r="E549" s="48" t="s">
        <v>1199</v>
      </c>
      <c r="F549" s="53">
        <v>209104.55</v>
      </c>
      <c r="G549" s="53">
        <v>8579.0499999999993</v>
      </c>
      <c r="H549" s="53">
        <v>0</v>
      </c>
      <c r="I549" s="53">
        <v>0</v>
      </c>
      <c r="J549" s="53">
        <v>0</v>
      </c>
      <c r="K549" s="53">
        <v>0</v>
      </c>
      <c r="L549" s="53">
        <v>0</v>
      </c>
      <c r="M549" s="43"/>
      <c r="N549" s="53">
        <v>0</v>
      </c>
      <c r="O549" s="53">
        <v>0</v>
      </c>
      <c r="P549" s="53">
        <v>0</v>
      </c>
      <c r="Q549" s="53">
        <v>217683.6</v>
      </c>
    </row>
    <row r="550" spans="1:17" ht="26.45">
      <c r="A550" s="44">
        <v>2024</v>
      </c>
      <c r="B550" s="46" t="s">
        <v>1411</v>
      </c>
      <c r="C550" s="46" t="s">
        <v>8972</v>
      </c>
      <c r="D550" s="44" t="s">
        <v>425</v>
      </c>
      <c r="E550" s="45" t="s">
        <v>1200</v>
      </c>
      <c r="F550" s="54">
        <v>58119.67</v>
      </c>
      <c r="G550" s="54">
        <v>0</v>
      </c>
      <c r="H550" s="54">
        <v>0</v>
      </c>
      <c r="I550" s="54">
        <v>0</v>
      </c>
      <c r="J550" s="54">
        <v>0</v>
      </c>
      <c r="K550" s="54">
        <v>0</v>
      </c>
      <c r="L550" s="54">
        <v>0</v>
      </c>
      <c r="M550" s="43"/>
      <c r="N550" s="54">
        <v>0</v>
      </c>
      <c r="O550" s="54">
        <v>0</v>
      </c>
      <c r="P550" s="54">
        <v>0</v>
      </c>
      <c r="Q550" s="54">
        <v>58119.67</v>
      </c>
    </row>
    <row r="551" spans="1:17" ht="26.45">
      <c r="A551" s="47">
        <v>2024</v>
      </c>
      <c r="B551" s="50" t="s">
        <v>1411</v>
      </c>
      <c r="C551" s="50" t="s">
        <v>8972</v>
      </c>
      <c r="D551" s="47" t="s">
        <v>426</v>
      </c>
      <c r="E551" s="48" t="s">
        <v>1201</v>
      </c>
      <c r="F551" s="53">
        <v>43357.01</v>
      </c>
      <c r="G551" s="53">
        <v>13816.32</v>
      </c>
      <c r="H551" s="53">
        <v>0</v>
      </c>
      <c r="I551" s="53">
        <v>0</v>
      </c>
      <c r="J551" s="53">
        <v>0</v>
      </c>
      <c r="K551" s="53">
        <v>0</v>
      </c>
      <c r="L551" s="53">
        <v>0</v>
      </c>
      <c r="M551" s="43"/>
      <c r="N551" s="53">
        <v>0</v>
      </c>
      <c r="O551" s="53">
        <v>0</v>
      </c>
      <c r="P551" s="53">
        <v>0</v>
      </c>
      <c r="Q551" s="53">
        <v>57173.33</v>
      </c>
    </row>
    <row r="552" spans="1:17" ht="26.45">
      <c r="A552" s="44">
        <v>2024</v>
      </c>
      <c r="B552" s="46" t="s">
        <v>1411</v>
      </c>
      <c r="C552" s="46" t="s">
        <v>8972</v>
      </c>
      <c r="D552" s="44" t="s">
        <v>427</v>
      </c>
      <c r="E552" s="45" t="s">
        <v>1202</v>
      </c>
      <c r="F552" s="54">
        <v>10917</v>
      </c>
      <c r="G552" s="54">
        <v>0</v>
      </c>
      <c r="H552" s="54">
        <v>0</v>
      </c>
      <c r="I552" s="54">
        <v>0</v>
      </c>
      <c r="J552" s="54">
        <v>0</v>
      </c>
      <c r="K552" s="54">
        <v>0</v>
      </c>
      <c r="L552" s="54">
        <v>0</v>
      </c>
      <c r="M552" s="43"/>
      <c r="N552" s="54">
        <v>0</v>
      </c>
      <c r="O552" s="54">
        <v>0</v>
      </c>
      <c r="P552" s="54">
        <v>0</v>
      </c>
      <c r="Q552" s="54">
        <v>10917</v>
      </c>
    </row>
    <row r="553" spans="1:17" ht="39.6">
      <c r="A553" s="47">
        <v>2024</v>
      </c>
      <c r="B553" s="50" t="s">
        <v>1411</v>
      </c>
      <c r="C553" s="50" t="s">
        <v>8972</v>
      </c>
      <c r="D553" s="47" t="s">
        <v>1203</v>
      </c>
      <c r="E553" s="48" t="s">
        <v>1204</v>
      </c>
      <c r="F553" s="53">
        <v>15942.72</v>
      </c>
      <c r="G553" s="53">
        <v>94.17</v>
      </c>
      <c r="H553" s="53">
        <v>0</v>
      </c>
      <c r="I553" s="53">
        <v>0</v>
      </c>
      <c r="J553" s="53">
        <v>0</v>
      </c>
      <c r="K553" s="53">
        <v>0</v>
      </c>
      <c r="L553" s="53">
        <v>0</v>
      </c>
      <c r="M553" s="43"/>
      <c r="N553" s="53">
        <v>0</v>
      </c>
      <c r="O553" s="53">
        <v>0</v>
      </c>
      <c r="P553" s="53">
        <v>0</v>
      </c>
      <c r="Q553" s="53">
        <v>16036.89</v>
      </c>
    </row>
    <row r="554" spans="1:17" ht="26.45">
      <c r="A554" s="44">
        <v>2024</v>
      </c>
      <c r="B554" s="46" t="s">
        <v>1411</v>
      </c>
      <c r="C554" s="46" t="s">
        <v>8972</v>
      </c>
      <c r="D554" s="44" t="s">
        <v>428</v>
      </c>
      <c r="E554" s="45" t="s">
        <v>1205</v>
      </c>
      <c r="F554" s="54">
        <v>531439.39</v>
      </c>
      <c r="G554" s="54">
        <v>280682.14</v>
      </c>
      <c r="H554" s="54">
        <v>0</v>
      </c>
      <c r="I554" s="54">
        <v>0</v>
      </c>
      <c r="J554" s="54">
        <v>0</v>
      </c>
      <c r="K554" s="54">
        <v>0</v>
      </c>
      <c r="L554" s="54">
        <v>0</v>
      </c>
      <c r="M554" s="43"/>
      <c r="N554" s="54">
        <v>0</v>
      </c>
      <c r="O554" s="54">
        <v>0</v>
      </c>
      <c r="P554" s="54">
        <v>0</v>
      </c>
      <c r="Q554" s="54">
        <v>812121.53</v>
      </c>
    </row>
    <row r="555" spans="1:17" ht="26.45">
      <c r="A555" s="47">
        <v>2024</v>
      </c>
      <c r="B555" s="50" t="s">
        <v>1411</v>
      </c>
      <c r="C555" s="50" t="s">
        <v>8972</v>
      </c>
      <c r="D555" s="47" t="s">
        <v>429</v>
      </c>
      <c r="E555" s="48" t="s">
        <v>1206</v>
      </c>
      <c r="F555" s="53">
        <v>1123046.9099999999</v>
      </c>
      <c r="G555" s="53">
        <v>336337.09</v>
      </c>
      <c r="H555" s="53">
        <v>0</v>
      </c>
      <c r="I555" s="53">
        <v>0</v>
      </c>
      <c r="J555" s="53">
        <v>0</v>
      </c>
      <c r="K555" s="53">
        <v>0</v>
      </c>
      <c r="L555" s="53">
        <v>0</v>
      </c>
      <c r="M555" s="43"/>
      <c r="N555" s="53">
        <v>0</v>
      </c>
      <c r="O555" s="53">
        <v>0</v>
      </c>
      <c r="P555" s="53">
        <v>0</v>
      </c>
      <c r="Q555" s="53">
        <v>1459384</v>
      </c>
    </row>
    <row r="556" spans="1:17" ht="26.45">
      <c r="A556" s="44">
        <v>2024</v>
      </c>
      <c r="B556" s="46" t="s">
        <v>1411</v>
      </c>
      <c r="C556" s="46" t="s">
        <v>8972</v>
      </c>
      <c r="D556" s="44" t="s">
        <v>430</v>
      </c>
      <c r="E556" s="45" t="s">
        <v>1207</v>
      </c>
      <c r="F556" s="54">
        <v>9311.49</v>
      </c>
      <c r="G556" s="54">
        <v>806.55</v>
      </c>
      <c r="H556" s="54">
        <v>0</v>
      </c>
      <c r="I556" s="54">
        <v>0</v>
      </c>
      <c r="J556" s="54">
        <v>0</v>
      </c>
      <c r="K556" s="54">
        <v>0</v>
      </c>
      <c r="L556" s="54">
        <v>0</v>
      </c>
      <c r="M556" s="43"/>
      <c r="N556" s="54">
        <v>0</v>
      </c>
      <c r="O556" s="54">
        <v>0</v>
      </c>
      <c r="P556" s="54">
        <v>0</v>
      </c>
      <c r="Q556" s="54">
        <v>10118.040000000001</v>
      </c>
    </row>
    <row r="557" spans="1:17" ht="26.45">
      <c r="A557" s="47">
        <v>2024</v>
      </c>
      <c r="B557" s="50" t="s">
        <v>1411</v>
      </c>
      <c r="C557" s="50" t="s">
        <v>8972</v>
      </c>
      <c r="D557" s="47" t="s">
        <v>1208</v>
      </c>
      <c r="E557" s="48" t="s">
        <v>1209</v>
      </c>
      <c r="F557" s="53">
        <v>43954.03</v>
      </c>
      <c r="G557" s="53">
        <v>0</v>
      </c>
      <c r="H557" s="53">
        <v>0</v>
      </c>
      <c r="I557" s="53">
        <v>0</v>
      </c>
      <c r="J557" s="53">
        <v>0</v>
      </c>
      <c r="K557" s="53">
        <v>0</v>
      </c>
      <c r="L557" s="53">
        <v>0</v>
      </c>
      <c r="M557" s="43"/>
      <c r="N557" s="53">
        <v>0</v>
      </c>
      <c r="O557" s="53">
        <v>0</v>
      </c>
      <c r="P557" s="53">
        <v>0</v>
      </c>
      <c r="Q557" s="53">
        <v>43954.03</v>
      </c>
    </row>
    <row r="558" spans="1:17" ht="26.45">
      <c r="A558" s="44">
        <v>2024</v>
      </c>
      <c r="B558" s="46" t="s">
        <v>1411</v>
      </c>
      <c r="C558" s="46" t="s">
        <v>8972</v>
      </c>
      <c r="D558" s="44" t="s">
        <v>1210</v>
      </c>
      <c r="E558" s="45" t="s">
        <v>1211</v>
      </c>
      <c r="F558" s="54">
        <v>32955.67</v>
      </c>
      <c r="G558" s="54">
        <v>0</v>
      </c>
      <c r="H558" s="54">
        <v>0</v>
      </c>
      <c r="I558" s="54">
        <v>0</v>
      </c>
      <c r="J558" s="54">
        <v>0</v>
      </c>
      <c r="K558" s="54">
        <v>0</v>
      </c>
      <c r="L558" s="54">
        <v>0</v>
      </c>
      <c r="M558" s="43"/>
      <c r="N558" s="54">
        <v>0</v>
      </c>
      <c r="O558" s="54">
        <v>0</v>
      </c>
      <c r="P558" s="54">
        <v>0</v>
      </c>
      <c r="Q558" s="54">
        <v>32955.67</v>
      </c>
    </row>
    <row r="559" spans="1:17" ht="26.45">
      <c r="A559" s="47">
        <v>2024</v>
      </c>
      <c r="B559" s="50" t="s">
        <v>1411</v>
      </c>
      <c r="C559" s="50" t="s">
        <v>8972</v>
      </c>
      <c r="D559" s="47" t="s">
        <v>431</v>
      </c>
      <c r="E559" s="48" t="s">
        <v>1212</v>
      </c>
      <c r="F559" s="53">
        <v>34496.35</v>
      </c>
      <c r="G559" s="53">
        <v>4505.01</v>
      </c>
      <c r="H559" s="53">
        <v>0</v>
      </c>
      <c r="I559" s="53">
        <v>0</v>
      </c>
      <c r="J559" s="53">
        <v>0</v>
      </c>
      <c r="K559" s="53">
        <v>0</v>
      </c>
      <c r="L559" s="53">
        <v>0</v>
      </c>
      <c r="M559" s="43"/>
      <c r="N559" s="53">
        <v>0</v>
      </c>
      <c r="O559" s="53">
        <v>0</v>
      </c>
      <c r="P559" s="53">
        <v>0</v>
      </c>
      <c r="Q559" s="53">
        <v>39001.360000000001</v>
      </c>
    </row>
    <row r="560" spans="1:17" ht="26.45">
      <c r="A560" s="44">
        <v>2024</v>
      </c>
      <c r="B560" s="46" t="s">
        <v>1411</v>
      </c>
      <c r="C560" s="46" t="s">
        <v>8972</v>
      </c>
      <c r="D560" s="44" t="s">
        <v>432</v>
      </c>
      <c r="E560" s="45" t="s">
        <v>1213</v>
      </c>
      <c r="F560" s="54">
        <v>9827.9500000000007</v>
      </c>
      <c r="G560" s="54">
        <v>0</v>
      </c>
      <c r="H560" s="54">
        <v>0</v>
      </c>
      <c r="I560" s="54">
        <v>0</v>
      </c>
      <c r="J560" s="54">
        <v>0</v>
      </c>
      <c r="K560" s="54">
        <v>0</v>
      </c>
      <c r="L560" s="54">
        <v>0</v>
      </c>
      <c r="M560" s="43"/>
      <c r="N560" s="54">
        <v>0</v>
      </c>
      <c r="O560" s="54">
        <v>0</v>
      </c>
      <c r="P560" s="54">
        <v>0</v>
      </c>
      <c r="Q560" s="54">
        <v>9827.9500000000007</v>
      </c>
    </row>
    <row r="561" spans="1:17" ht="26.45">
      <c r="A561" s="47">
        <v>2024</v>
      </c>
      <c r="B561" s="50" t="s">
        <v>1411</v>
      </c>
      <c r="C561" s="50" t="s">
        <v>8972</v>
      </c>
      <c r="D561" s="47" t="s">
        <v>433</v>
      </c>
      <c r="E561" s="48" t="s">
        <v>1214</v>
      </c>
      <c r="F561" s="53">
        <v>597651.22</v>
      </c>
      <c r="G561" s="53">
        <v>71185.23</v>
      </c>
      <c r="H561" s="53">
        <v>0</v>
      </c>
      <c r="I561" s="53">
        <v>0</v>
      </c>
      <c r="J561" s="53">
        <v>0</v>
      </c>
      <c r="K561" s="53">
        <v>0</v>
      </c>
      <c r="L561" s="53">
        <v>0</v>
      </c>
      <c r="M561" s="43"/>
      <c r="N561" s="53">
        <v>0</v>
      </c>
      <c r="O561" s="53">
        <v>0</v>
      </c>
      <c r="P561" s="53">
        <v>0</v>
      </c>
      <c r="Q561" s="53">
        <v>668836.44999999995</v>
      </c>
    </row>
    <row r="562" spans="1:17" ht="26.45">
      <c r="A562" s="44">
        <v>2024</v>
      </c>
      <c r="B562" s="46" t="s">
        <v>1411</v>
      </c>
      <c r="C562" s="46" t="s">
        <v>8972</v>
      </c>
      <c r="D562" s="44" t="s">
        <v>434</v>
      </c>
      <c r="E562" s="45" t="s">
        <v>1215</v>
      </c>
      <c r="F562" s="54">
        <v>54439.66</v>
      </c>
      <c r="G562" s="54">
        <v>33203.22</v>
      </c>
      <c r="H562" s="54">
        <v>0</v>
      </c>
      <c r="I562" s="54">
        <v>0</v>
      </c>
      <c r="J562" s="54">
        <v>0</v>
      </c>
      <c r="K562" s="54">
        <v>0</v>
      </c>
      <c r="L562" s="54">
        <v>0</v>
      </c>
      <c r="M562" s="43"/>
      <c r="N562" s="54">
        <v>0</v>
      </c>
      <c r="O562" s="54">
        <v>0</v>
      </c>
      <c r="P562" s="54">
        <v>0</v>
      </c>
      <c r="Q562" s="54">
        <v>87642.880000000005</v>
      </c>
    </row>
    <row r="563" spans="1:17" ht="26.45">
      <c r="A563" s="47">
        <v>2024</v>
      </c>
      <c r="B563" s="50" t="s">
        <v>1411</v>
      </c>
      <c r="C563" s="50" t="s">
        <v>8972</v>
      </c>
      <c r="D563" s="47" t="s">
        <v>435</v>
      </c>
      <c r="E563" s="48" t="s">
        <v>1216</v>
      </c>
      <c r="F563" s="53">
        <v>26249.94</v>
      </c>
      <c r="G563" s="53">
        <v>0.01</v>
      </c>
      <c r="H563" s="53">
        <v>0</v>
      </c>
      <c r="I563" s="53">
        <v>0</v>
      </c>
      <c r="J563" s="53">
        <v>0</v>
      </c>
      <c r="K563" s="53">
        <v>0</v>
      </c>
      <c r="L563" s="53">
        <v>0</v>
      </c>
      <c r="M563" s="43"/>
      <c r="N563" s="53">
        <v>0</v>
      </c>
      <c r="O563" s="53">
        <v>0</v>
      </c>
      <c r="P563" s="53">
        <v>0</v>
      </c>
      <c r="Q563" s="53">
        <v>26249.95</v>
      </c>
    </row>
    <row r="564" spans="1:17" ht="26.45">
      <c r="A564" s="44">
        <v>2024</v>
      </c>
      <c r="B564" s="46" t="s">
        <v>1411</v>
      </c>
      <c r="C564" s="46" t="s">
        <v>8972</v>
      </c>
      <c r="D564" s="44" t="s">
        <v>436</v>
      </c>
      <c r="E564" s="45" t="s">
        <v>1217</v>
      </c>
      <c r="F564" s="54">
        <v>635335.19999999995</v>
      </c>
      <c r="G564" s="54">
        <v>28454.89</v>
      </c>
      <c r="H564" s="54">
        <v>0</v>
      </c>
      <c r="I564" s="54">
        <v>0</v>
      </c>
      <c r="J564" s="54">
        <v>0</v>
      </c>
      <c r="K564" s="54">
        <v>0</v>
      </c>
      <c r="L564" s="54">
        <v>0</v>
      </c>
      <c r="M564" s="43"/>
      <c r="N564" s="54">
        <v>0</v>
      </c>
      <c r="O564" s="54">
        <v>0</v>
      </c>
      <c r="P564" s="54">
        <v>0</v>
      </c>
      <c r="Q564" s="54">
        <v>663790.09</v>
      </c>
    </row>
    <row r="565" spans="1:17" ht="26.45">
      <c r="A565" s="47">
        <v>2024</v>
      </c>
      <c r="B565" s="50" t="s">
        <v>1411</v>
      </c>
      <c r="C565" s="50" t="s">
        <v>8972</v>
      </c>
      <c r="D565" s="47" t="s">
        <v>437</v>
      </c>
      <c r="E565" s="48" t="s">
        <v>1218</v>
      </c>
      <c r="F565" s="53">
        <v>31128.799999999999</v>
      </c>
      <c r="G565" s="53">
        <v>20854.41</v>
      </c>
      <c r="H565" s="53">
        <v>0</v>
      </c>
      <c r="I565" s="53">
        <v>0</v>
      </c>
      <c r="J565" s="53">
        <v>0</v>
      </c>
      <c r="K565" s="53">
        <v>0</v>
      </c>
      <c r="L565" s="53">
        <v>0</v>
      </c>
      <c r="M565" s="43"/>
      <c r="N565" s="53">
        <v>0</v>
      </c>
      <c r="O565" s="53">
        <v>0</v>
      </c>
      <c r="P565" s="53">
        <v>0</v>
      </c>
      <c r="Q565" s="53">
        <v>51983.21</v>
      </c>
    </row>
    <row r="566" spans="1:17" ht="26.45">
      <c r="A566" s="44">
        <v>2024</v>
      </c>
      <c r="B566" s="46" t="s">
        <v>1411</v>
      </c>
      <c r="C566" s="46" t="s">
        <v>8972</v>
      </c>
      <c r="D566" s="44" t="s">
        <v>438</v>
      </c>
      <c r="E566" s="45" t="s">
        <v>1219</v>
      </c>
      <c r="F566" s="54">
        <v>55049.96</v>
      </c>
      <c r="G566" s="54">
        <v>0</v>
      </c>
      <c r="H566" s="54">
        <v>0</v>
      </c>
      <c r="I566" s="54">
        <v>0</v>
      </c>
      <c r="J566" s="54">
        <v>0</v>
      </c>
      <c r="K566" s="54">
        <v>0</v>
      </c>
      <c r="L566" s="54">
        <v>0</v>
      </c>
      <c r="M566" s="43"/>
      <c r="N566" s="54">
        <v>0</v>
      </c>
      <c r="O566" s="54">
        <v>0</v>
      </c>
      <c r="P566" s="54">
        <v>0</v>
      </c>
      <c r="Q566" s="54">
        <v>55049.96</v>
      </c>
    </row>
    <row r="567" spans="1:17" ht="26.45">
      <c r="A567" s="47">
        <v>2024</v>
      </c>
      <c r="B567" s="50" t="s">
        <v>1411</v>
      </c>
      <c r="C567" s="50" t="s">
        <v>8972</v>
      </c>
      <c r="D567" s="47" t="s">
        <v>1220</v>
      </c>
      <c r="E567" s="48" t="s">
        <v>1221</v>
      </c>
      <c r="F567" s="53">
        <v>35589.360000000001</v>
      </c>
      <c r="G567" s="53">
        <v>0</v>
      </c>
      <c r="H567" s="53">
        <v>0</v>
      </c>
      <c r="I567" s="53">
        <v>0</v>
      </c>
      <c r="J567" s="53">
        <v>0</v>
      </c>
      <c r="K567" s="53">
        <v>0</v>
      </c>
      <c r="L567" s="53">
        <v>0</v>
      </c>
      <c r="M567" s="43"/>
      <c r="N567" s="53">
        <v>0</v>
      </c>
      <c r="O567" s="53">
        <v>0</v>
      </c>
      <c r="P567" s="53">
        <v>0</v>
      </c>
      <c r="Q567" s="53">
        <v>35589.360000000001</v>
      </c>
    </row>
    <row r="568" spans="1:17" ht="26.45">
      <c r="A568" s="44">
        <v>2024</v>
      </c>
      <c r="B568" s="46" t="s">
        <v>1411</v>
      </c>
      <c r="C568" s="46" t="s">
        <v>8972</v>
      </c>
      <c r="D568" s="44" t="s">
        <v>439</v>
      </c>
      <c r="E568" s="45" t="s">
        <v>1222</v>
      </c>
      <c r="F568" s="54">
        <v>93031.84</v>
      </c>
      <c r="G568" s="54">
        <v>0</v>
      </c>
      <c r="H568" s="54">
        <v>0</v>
      </c>
      <c r="I568" s="54">
        <v>0</v>
      </c>
      <c r="J568" s="54">
        <v>0</v>
      </c>
      <c r="K568" s="54">
        <v>0</v>
      </c>
      <c r="L568" s="54">
        <v>0</v>
      </c>
      <c r="M568" s="43"/>
      <c r="N568" s="54">
        <v>0</v>
      </c>
      <c r="O568" s="54">
        <v>0</v>
      </c>
      <c r="P568" s="54">
        <v>0</v>
      </c>
      <c r="Q568" s="54">
        <v>93031.84</v>
      </c>
    </row>
    <row r="569" spans="1:17" ht="26.45">
      <c r="A569" s="47">
        <v>2024</v>
      </c>
      <c r="B569" s="50" t="s">
        <v>1411</v>
      </c>
      <c r="C569" s="50" t="s">
        <v>8972</v>
      </c>
      <c r="D569" s="47" t="s">
        <v>1223</v>
      </c>
      <c r="E569" s="48" t="s">
        <v>1224</v>
      </c>
      <c r="F569" s="53">
        <v>40285.51</v>
      </c>
      <c r="G569" s="53">
        <v>0</v>
      </c>
      <c r="H569" s="53">
        <v>0</v>
      </c>
      <c r="I569" s="53">
        <v>0</v>
      </c>
      <c r="J569" s="53">
        <v>0</v>
      </c>
      <c r="K569" s="53">
        <v>0</v>
      </c>
      <c r="L569" s="53">
        <v>0</v>
      </c>
      <c r="M569" s="43"/>
      <c r="N569" s="53">
        <v>0</v>
      </c>
      <c r="O569" s="53">
        <v>0</v>
      </c>
      <c r="P569" s="53">
        <v>0</v>
      </c>
      <c r="Q569" s="53">
        <v>40285.51</v>
      </c>
    </row>
    <row r="570" spans="1:17" ht="26.45">
      <c r="A570" s="44">
        <v>2024</v>
      </c>
      <c r="B570" s="46" t="s">
        <v>1411</v>
      </c>
      <c r="C570" s="46" t="s">
        <v>8972</v>
      </c>
      <c r="D570" s="44" t="s">
        <v>440</v>
      </c>
      <c r="E570" s="45" t="s">
        <v>1225</v>
      </c>
      <c r="F570" s="54">
        <v>110691.63</v>
      </c>
      <c r="G570" s="54">
        <v>3112.21</v>
      </c>
      <c r="H570" s="54">
        <v>0</v>
      </c>
      <c r="I570" s="54">
        <v>0</v>
      </c>
      <c r="J570" s="54">
        <v>0</v>
      </c>
      <c r="K570" s="54">
        <v>0</v>
      </c>
      <c r="L570" s="54">
        <v>0</v>
      </c>
      <c r="M570" s="43"/>
      <c r="N570" s="54">
        <v>0</v>
      </c>
      <c r="O570" s="54">
        <v>0</v>
      </c>
      <c r="P570" s="54">
        <v>0</v>
      </c>
      <c r="Q570" s="54">
        <v>113803.84</v>
      </c>
    </row>
    <row r="571" spans="1:17" ht="26.45">
      <c r="A571" s="47">
        <v>2024</v>
      </c>
      <c r="B571" s="50" t="s">
        <v>1411</v>
      </c>
      <c r="C571" s="50" t="s">
        <v>8972</v>
      </c>
      <c r="D571" s="47" t="s">
        <v>441</v>
      </c>
      <c r="E571" s="48" t="s">
        <v>1226</v>
      </c>
      <c r="F571" s="53">
        <v>225397.33</v>
      </c>
      <c r="G571" s="53">
        <v>82267.61</v>
      </c>
      <c r="H571" s="53">
        <v>0</v>
      </c>
      <c r="I571" s="53">
        <v>0</v>
      </c>
      <c r="J571" s="53">
        <v>0</v>
      </c>
      <c r="K571" s="53">
        <v>0</v>
      </c>
      <c r="L571" s="53">
        <v>0</v>
      </c>
      <c r="M571" s="43"/>
      <c r="N571" s="53">
        <v>0</v>
      </c>
      <c r="O571" s="53">
        <v>0</v>
      </c>
      <c r="P571" s="53">
        <v>0</v>
      </c>
      <c r="Q571" s="53">
        <v>307664.94</v>
      </c>
    </row>
    <row r="572" spans="1:17" ht="26.45">
      <c r="A572" s="44">
        <v>2024</v>
      </c>
      <c r="B572" s="46" t="s">
        <v>1411</v>
      </c>
      <c r="C572" s="46" t="s">
        <v>8972</v>
      </c>
      <c r="D572" s="44" t="s">
        <v>442</v>
      </c>
      <c r="E572" s="45" t="s">
        <v>1227</v>
      </c>
      <c r="F572" s="54">
        <v>125051.59</v>
      </c>
      <c r="G572" s="54">
        <v>0</v>
      </c>
      <c r="H572" s="54">
        <v>0</v>
      </c>
      <c r="I572" s="54">
        <v>0</v>
      </c>
      <c r="J572" s="54">
        <v>0</v>
      </c>
      <c r="K572" s="54">
        <v>0</v>
      </c>
      <c r="L572" s="54">
        <v>0</v>
      </c>
      <c r="M572" s="43"/>
      <c r="N572" s="54">
        <v>0</v>
      </c>
      <c r="O572" s="54">
        <v>0</v>
      </c>
      <c r="P572" s="54">
        <v>0</v>
      </c>
      <c r="Q572" s="54">
        <v>125051.59</v>
      </c>
    </row>
    <row r="573" spans="1:17" ht="26.45">
      <c r="A573" s="47">
        <v>2024</v>
      </c>
      <c r="B573" s="50" t="s">
        <v>1411</v>
      </c>
      <c r="C573" s="50" t="s">
        <v>8972</v>
      </c>
      <c r="D573" s="47" t="s">
        <v>443</v>
      </c>
      <c r="E573" s="48" t="s">
        <v>1228</v>
      </c>
      <c r="F573" s="53">
        <v>40217.160000000003</v>
      </c>
      <c r="G573" s="53">
        <v>2603.41</v>
      </c>
      <c r="H573" s="53">
        <v>0</v>
      </c>
      <c r="I573" s="53">
        <v>0</v>
      </c>
      <c r="J573" s="53">
        <v>0</v>
      </c>
      <c r="K573" s="53">
        <v>0</v>
      </c>
      <c r="L573" s="53">
        <v>0</v>
      </c>
      <c r="M573" s="43"/>
      <c r="N573" s="53">
        <v>0</v>
      </c>
      <c r="O573" s="53">
        <v>0</v>
      </c>
      <c r="P573" s="53">
        <v>0</v>
      </c>
      <c r="Q573" s="53">
        <v>42820.57</v>
      </c>
    </row>
    <row r="574" spans="1:17" ht="26.45">
      <c r="A574" s="44">
        <v>2024</v>
      </c>
      <c r="B574" s="46" t="s">
        <v>1411</v>
      </c>
      <c r="C574" s="46" t="s">
        <v>8972</v>
      </c>
      <c r="D574" s="44" t="s">
        <v>444</v>
      </c>
      <c r="E574" s="45" t="s">
        <v>1229</v>
      </c>
      <c r="F574" s="54">
        <v>38033.269999999997</v>
      </c>
      <c r="G574" s="54">
        <v>0</v>
      </c>
      <c r="H574" s="54">
        <v>0</v>
      </c>
      <c r="I574" s="54">
        <v>0</v>
      </c>
      <c r="J574" s="54">
        <v>0</v>
      </c>
      <c r="K574" s="54">
        <v>0</v>
      </c>
      <c r="L574" s="54">
        <v>0</v>
      </c>
      <c r="M574" s="43"/>
      <c r="N574" s="54">
        <v>0</v>
      </c>
      <c r="O574" s="54">
        <v>0</v>
      </c>
      <c r="P574" s="54">
        <v>0</v>
      </c>
      <c r="Q574" s="54">
        <v>38033.269999999997</v>
      </c>
    </row>
    <row r="575" spans="1:17" ht="26.45">
      <c r="A575" s="47">
        <v>2024</v>
      </c>
      <c r="B575" s="50" t="s">
        <v>1411</v>
      </c>
      <c r="C575" s="50" t="s">
        <v>8972</v>
      </c>
      <c r="D575" s="47" t="s">
        <v>1230</v>
      </c>
      <c r="E575" s="48" t="s">
        <v>1231</v>
      </c>
      <c r="F575" s="53">
        <v>10428.65</v>
      </c>
      <c r="G575" s="53">
        <v>11193.63</v>
      </c>
      <c r="H575" s="53">
        <v>0</v>
      </c>
      <c r="I575" s="53">
        <v>0</v>
      </c>
      <c r="J575" s="53">
        <v>0</v>
      </c>
      <c r="K575" s="53">
        <v>0</v>
      </c>
      <c r="L575" s="53">
        <v>0</v>
      </c>
      <c r="M575" s="43"/>
      <c r="N575" s="53">
        <v>0</v>
      </c>
      <c r="O575" s="53">
        <v>0</v>
      </c>
      <c r="P575" s="53">
        <v>0</v>
      </c>
      <c r="Q575" s="53">
        <v>21622.28</v>
      </c>
    </row>
    <row r="576" spans="1:17" ht="26.45">
      <c r="A576" s="44">
        <v>2024</v>
      </c>
      <c r="B576" s="46" t="s">
        <v>1411</v>
      </c>
      <c r="C576" s="46" t="s">
        <v>8972</v>
      </c>
      <c r="D576" s="44" t="s">
        <v>445</v>
      </c>
      <c r="E576" s="45" t="s">
        <v>1232</v>
      </c>
      <c r="F576" s="54">
        <v>181138.25</v>
      </c>
      <c r="G576" s="54">
        <v>0</v>
      </c>
      <c r="H576" s="54">
        <v>0</v>
      </c>
      <c r="I576" s="54">
        <v>0</v>
      </c>
      <c r="J576" s="54">
        <v>0</v>
      </c>
      <c r="K576" s="54">
        <v>0</v>
      </c>
      <c r="L576" s="54">
        <v>0</v>
      </c>
      <c r="M576" s="43"/>
      <c r="N576" s="54">
        <v>0</v>
      </c>
      <c r="O576" s="54">
        <v>0</v>
      </c>
      <c r="P576" s="54">
        <v>0</v>
      </c>
      <c r="Q576" s="54">
        <v>181138.25</v>
      </c>
    </row>
    <row r="577" spans="1:17" ht="26.45">
      <c r="A577" s="47">
        <v>2024</v>
      </c>
      <c r="B577" s="50" t="s">
        <v>1411</v>
      </c>
      <c r="C577" s="50" t="s">
        <v>8972</v>
      </c>
      <c r="D577" s="47" t="s">
        <v>446</v>
      </c>
      <c r="E577" s="48" t="s">
        <v>1233</v>
      </c>
      <c r="F577" s="53">
        <v>3403035.39</v>
      </c>
      <c r="G577" s="53">
        <v>356987.13</v>
      </c>
      <c r="H577" s="53">
        <v>0</v>
      </c>
      <c r="I577" s="53">
        <v>0</v>
      </c>
      <c r="J577" s="53">
        <v>0</v>
      </c>
      <c r="K577" s="53">
        <v>0</v>
      </c>
      <c r="L577" s="53">
        <v>0</v>
      </c>
      <c r="M577" s="43"/>
      <c r="N577" s="53">
        <v>0</v>
      </c>
      <c r="O577" s="53">
        <v>0</v>
      </c>
      <c r="P577" s="53">
        <v>0</v>
      </c>
      <c r="Q577" s="53">
        <v>3760022.52</v>
      </c>
    </row>
    <row r="578" spans="1:17" ht="26.45">
      <c r="A578" s="44">
        <v>2024</v>
      </c>
      <c r="B578" s="46" t="s">
        <v>1411</v>
      </c>
      <c r="C578" s="46" t="s">
        <v>8972</v>
      </c>
      <c r="D578" s="44" t="s">
        <v>447</v>
      </c>
      <c r="E578" s="45" t="s">
        <v>1234</v>
      </c>
      <c r="F578" s="54">
        <v>76726.100000000006</v>
      </c>
      <c r="G578" s="54">
        <v>3938.39</v>
      </c>
      <c r="H578" s="54">
        <v>0</v>
      </c>
      <c r="I578" s="54">
        <v>0</v>
      </c>
      <c r="J578" s="54">
        <v>0</v>
      </c>
      <c r="K578" s="54">
        <v>0</v>
      </c>
      <c r="L578" s="54">
        <v>0</v>
      </c>
      <c r="M578" s="43"/>
      <c r="N578" s="54">
        <v>0</v>
      </c>
      <c r="O578" s="54">
        <v>0</v>
      </c>
      <c r="P578" s="54">
        <v>0</v>
      </c>
      <c r="Q578" s="54">
        <v>80664.490000000005</v>
      </c>
    </row>
    <row r="579" spans="1:17" ht="26.45">
      <c r="A579" s="47">
        <v>2024</v>
      </c>
      <c r="B579" s="50" t="s">
        <v>1411</v>
      </c>
      <c r="C579" s="50" t="s">
        <v>8972</v>
      </c>
      <c r="D579" s="47" t="s">
        <v>448</v>
      </c>
      <c r="E579" s="48" t="s">
        <v>1235</v>
      </c>
      <c r="F579" s="53">
        <v>105899.26</v>
      </c>
      <c r="G579" s="53">
        <v>0</v>
      </c>
      <c r="H579" s="53">
        <v>0</v>
      </c>
      <c r="I579" s="53">
        <v>0</v>
      </c>
      <c r="J579" s="53">
        <v>0</v>
      </c>
      <c r="K579" s="53">
        <v>0</v>
      </c>
      <c r="L579" s="53">
        <v>0</v>
      </c>
      <c r="M579" s="43"/>
      <c r="N579" s="53">
        <v>0</v>
      </c>
      <c r="O579" s="53">
        <v>0</v>
      </c>
      <c r="P579" s="53">
        <v>0</v>
      </c>
      <c r="Q579" s="53">
        <v>105899.26</v>
      </c>
    </row>
    <row r="580" spans="1:17" ht="26.45">
      <c r="A580" s="44">
        <v>2024</v>
      </c>
      <c r="B580" s="46" t="s">
        <v>1411</v>
      </c>
      <c r="C580" s="46" t="s">
        <v>8972</v>
      </c>
      <c r="D580" s="44" t="s">
        <v>449</v>
      </c>
      <c r="E580" s="45" t="s">
        <v>1236</v>
      </c>
      <c r="F580" s="54">
        <v>400140.77</v>
      </c>
      <c r="G580" s="54">
        <v>10742.18</v>
      </c>
      <c r="H580" s="54">
        <v>0</v>
      </c>
      <c r="I580" s="54">
        <v>0</v>
      </c>
      <c r="J580" s="54">
        <v>0</v>
      </c>
      <c r="K580" s="54">
        <v>0</v>
      </c>
      <c r="L580" s="54">
        <v>0</v>
      </c>
      <c r="M580" s="43"/>
      <c r="N580" s="54">
        <v>0</v>
      </c>
      <c r="O580" s="54">
        <v>0</v>
      </c>
      <c r="P580" s="54">
        <v>0</v>
      </c>
      <c r="Q580" s="54">
        <v>410882.95</v>
      </c>
    </row>
    <row r="581" spans="1:17" ht="26.45">
      <c r="A581" s="47">
        <v>2024</v>
      </c>
      <c r="B581" s="50" t="s">
        <v>1411</v>
      </c>
      <c r="C581" s="50" t="s">
        <v>8972</v>
      </c>
      <c r="D581" s="47" t="s">
        <v>450</v>
      </c>
      <c r="E581" s="48" t="s">
        <v>1237</v>
      </c>
      <c r="F581" s="53">
        <v>58486.09</v>
      </c>
      <c r="G581" s="53">
        <v>0</v>
      </c>
      <c r="H581" s="53">
        <v>0</v>
      </c>
      <c r="I581" s="53">
        <v>0</v>
      </c>
      <c r="J581" s="53">
        <v>0</v>
      </c>
      <c r="K581" s="53">
        <v>0</v>
      </c>
      <c r="L581" s="53">
        <v>0</v>
      </c>
      <c r="M581" s="43"/>
      <c r="N581" s="53">
        <v>0</v>
      </c>
      <c r="O581" s="53">
        <v>0</v>
      </c>
      <c r="P581" s="53">
        <v>0</v>
      </c>
      <c r="Q581" s="53">
        <v>58486.09</v>
      </c>
    </row>
    <row r="582" spans="1:17" ht="26.45">
      <c r="A582" s="44">
        <v>2024</v>
      </c>
      <c r="B582" s="46" t="s">
        <v>1411</v>
      </c>
      <c r="C582" s="46" t="s">
        <v>8972</v>
      </c>
      <c r="D582" s="44" t="s">
        <v>1238</v>
      </c>
      <c r="E582" s="45" t="s">
        <v>1239</v>
      </c>
      <c r="F582" s="54">
        <v>57796.95</v>
      </c>
      <c r="G582" s="54">
        <v>0</v>
      </c>
      <c r="H582" s="54">
        <v>0</v>
      </c>
      <c r="I582" s="54">
        <v>0</v>
      </c>
      <c r="J582" s="54">
        <v>0</v>
      </c>
      <c r="K582" s="54">
        <v>0</v>
      </c>
      <c r="L582" s="54">
        <v>0</v>
      </c>
      <c r="M582" s="43"/>
      <c r="N582" s="54">
        <v>0</v>
      </c>
      <c r="O582" s="54">
        <v>0</v>
      </c>
      <c r="P582" s="54">
        <v>0</v>
      </c>
      <c r="Q582" s="54">
        <v>57796.95</v>
      </c>
    </row>
    <row r="583" spans="1:17" ht="26.45">
      <c r="A583" s="47">
        <v>2024</v>
      </c>
      <c r="B583" s="50" t="s">
        <v>1411</v>
      </c>
      <c r="C583" s="50" t="s">
        <v>8972</v>
      </c>
      <c r="D583" s="47" t="s">
        <v>451</v>
      </c>
      <c r="E583" s="48" t="s">
        <v>1240</v>
      </c>
      <c r="F583" s="53">
        <v>2473664.09</v>
      </c>
      <c r="G583" s="53">
        <v>83027.17</v>
      </c>
      <c r="H583" s="53">
        <v>0</v>
      </c>
      <c r="I583" s="53">
        <v>0</v>
      </c>
      <c r="J583" s="53">
        <v>0</v>
      </c>
      <c r="K583" s="53">
        <v>0</v>
      </c>
      <c r="L583" s="53">
        <v>0</v>
      </c>
      <c r="M583" s="43"/>
      <c r="N583" s="53">
        <v>0</v>
      </c>
      <c r="O583" s="53">
        <v>0</v>
      </c>
      <c r="P583" s="53">
        <v>0</v>
      </c>
      <c r="Q583" s="53">
        <v>2556691.2599999998</v>
      </c>
    </row>
    <row r="584" spans="1:17" ht="26.45">
      <c r="A584" s="44">
        <v>2024</v>
      </c>
      <c r="B584" s="46" t="s">
        <v>1411</v>
      </c>
      <c r="C584" s="46" t="s">
        <v>8972</v>
      </c>
      <c r="D584" s="44" t="s">
        <v>1241</v>
      </c>
      <c r="E584" s="45" t="s">
        <v>1242</v>
      </c>
      <c r="F584" s="54">
        <v>2318901.1800000002</v>
      </c>
      <c r="G584" s="54">
        <v>289780.15999999997</v>
      </c>
      <c r="H584" s="54">
        <v>0</v>
      </c>
      <c r="I584" s="54">
        <v>0</v>
      </c>
      <c r="J584" s="54">
        <v>0</v>
      </c>
      <c r="K584" s="54">
        <v>0</v>
      </c>
      <c r="L584" s="54">
        <v>0</v>
      </c>
      <c r="M584" s="43"/>
      <c r="N584" s="54">
        <v>0</v>
      </c>
      <c r="O584" s="54">
        <v>0</v>
      </c>
      <c r="P584" s="54">
        <v>0</v>
      </c>
      <c r="Q584" s="54">
        <v>2608681.34</v>
      </c>
    </row>
    <row r="585" spans="1:17" ht="26.45">
      <c r="A585" s="47">
        <v>2024</v>
      </c>
      <c r="B585" s="50" t="s">
        <v>1411</v>
      </c>
      <c r="C585" s="50" t="s">
        <v>8972</v>
      </c>
      <c r="D585" s="47" t="s">
        <v>1243</v>
      </c>
      <c r="E585" s="48" t="s">
        <v>1244</v>
      </c>
      <c r="F585" s="53">
        <v>0</v>
      </c>
      <c r="G585" s="53">
        <v>0</v>
      </c>
      <c r="H585" s="53">
        <v>0</v>
      </c>
      <c r="I585" s="53">
        <v>0</v>
      </c>
      <c r="J585" s="53">
        <v>0</v>
      </c>
      <c r="K585" s="53">
        <v>0</v>
      </c>
      <c r="L585" s="53">
        <v>0</v>
      </c>
      <c r="M585" s="43"/>
      <c r="N585" s="53">
        <v>0</v>
      </c>
      <c r="O585" s="53">
        <v>0</v>
      </c>
      <c r="P585" s="53">
        <v>0</v>
      </c>
      <c r="Q585" s="53">
        <v>0</v>
      </c>
    </row>
    <row r="586" spans="1:17" ht="26.45">
      <c r="A586" s="44">
        <v>2024</v>
      </c>
      <c r="B586" s="46" t="s">
        <v>1411</v>
      </c>
      <c r="C586" s="46" t="s">
        <v>8972</v>
      </c>
      <c r="D586" s="44" t="s">
        <v>452</v>
      </c>
      <c r="E586" s="45" t="s">
        <v>1245</v>
      </c>
      <c r="F586" s="54">
        <v>321410.36</v>
      </c>
      <c r="G586" s="54">
        <v>0</v>
      </c>
      <c r="H586" s="54">
        <v>0</v>
      </c>
      <c r="I586" s="54">
        <v>0</v>
      </c>
      <c r="J586" s="54">
        <v>0</v>
      </c>
      <c r="K586" s="54">
        <v>0</v>
      </c>
      <c r="L586" s="54">
        <v>0</v>
      </c>
      <c r="M586" s="43"/>
      <c r="N586" s="54">
        <v>0</v>
      </c>
      <c r="O586" s="54">
        <v>0</v>
      </c>
      <c r="P586" s="54">
        <v>0</v>
      </c>
      <c r="Q586" s="54">
        <v>321410.36</v>
      </c>
    </row>
    <row r="587" spans="1:17" ht="26.45">
      <c r="A587" s="47">
        <v>2024</v>
      </c>
      <c r="B587" s="50" t="s">
        <v>1411</v>
      </c>
      <c r="C587" s="50" t="s">
        <v>8972</v>
      </c>
      <c r="D587" s="47" t="s">
        <v>453</v>
      </c>
      <c r="E587" s="48" t="s">
        <v>1246</v>
      </c>
      <c r="F587" s="53">
        <v>44525.919999999998</v>
      </c>
      <c r="G587" s="53">
        <v>0</v>
      </c>
      <c r="H587" s="53">
        <v>0</v>
      </c>
      <c r="I587" s="53">
        <v>0</v>
      </c>
      <c r="J587" s="53">
        <v>0</v>
      </c>
      <c r="K587" s="53">
        <v>0</v>
      </c>
      <c r="L587" s="53">
        <v>0</v>
      </c>
      <c r="M587" s="43"/>
      <c r="N587" s="53">
        <v>0</v>
      </c>
      <c r="O587" s="53">
        <v>0</v>
      </c>
      <c r="P587" s="53">
        <v>0</v>
      </c>
      <c r="Q587" s="53">
        <v>44525.919999999998</v>
      </c>
    </row>
    <row r="588" spans="1:17" ht="26.45">
      <c r="A588" s="44">
        <v>2024</v>
      </c>
      <c r="B588" s="46" t="s">
        <v>1411</v>
      </c>
      <c r="C588" s="46" t="s">
        <v>8972</v>
      </c>
      <c r="D588" s="44" t="s">
        <v>454</v>
      </c>
      <c r="E588" s="45" t="s">
        <v>1247</v>
      </c>
      <c r="F588" s="54">
        <v>110455.46</v>
      </c>
      <c r="G588" s="54">
        <v>0</v>
      </c>
      <c r="H588" s="54">
        <v>0</v>
      </c>
      <c r="I588" s="54">
        <v>0</v>
      </c>
      <c r="J588" s="54">
        <v>0</v>
      </c>
      <c r="K588" s="54">
        <v>0</v>
      </c>
      <c r="L588" s="54">
        <v>0</v>
      </c>
      <c r="M588" s="43"/>
      <c r="N588" s="54">
        <v>0</v>
      </c>
      <c r="O588" s="54">
        <v>0</v>
      </c>
      <c r="P588" s="54">
        <v>0</v>
      </c>
      <c r="Q588" s="54">
        <v>110455.46</v>
      </c>
    </row>
    <row r="589" spans="1:17" ht="26.45">
      <c r="A589" s="47">
        <v>2024</v>
      </c>
      <c r="B589" s="50" t="s">
        <v>1411</v>
      </c>
      <c r="C589" s="50" t="s">
        <v>8972</v>
      </c>
      <c r="D589" s="47" t="s">
        <v>1248</v>
      </c>
      <c r="E589" s="48" t="s">
        <v>1249</v>
      </c>
      <c r="F589" s="53">
        <v>6910.22</v>
      </c>
      <c r="G589" s="53">
        <v>6001.64</v>
      </c>
      <c r="H589" s="53">
        <v>0</v>
      </c>
      <c r="I589" s="53">
        <v>0</v>
      </c>
      <c r="J589" s="53">
        <v>0</v>
      </c>
      <c r="K589" s="53">
        <v>0</v>
      </c>
      <c r="L589" s="53">
        <v>0</v>
      </c>
      <c r="M589" s="43"/>
      <c r="N589" s="53">
        <v>0</v>
      </c>
      <c r="O589" s="53">
        <v>0</v>
      </c>
      <c r="P589" s="53">
        <v>0</v>
      </c>
      <c r="Q589" s="53">
        <v>12911.86</v>
      </c>
    </row>
    <row r="590" spans="1:17" ht="26.45">
      <c r="A590" s="44">
        <v>2024</v>
      </c>
      <c r="B590" s="46" t="s">
        <v>1411</v>
      </c>
      <c r="C590" s="46" t="s">
        <v>8972</v>
      </c>
      <c r="D590" s="44" t="s">
        <v>455</v>
      </c>
      <c r="E590" s="45" t="s">
        <v>1250</v>
      </c>
      <c r="F590" s="54">
        <v>134685.69</v>
      </c>
      <c r="G590" s="54">
        <v>0</v>
      </c>
      <c r="H590" s="54">
        <v>0</v>
      </c>
      <c r="I590" s="54">
        <v>0</v>
      </c>
      <c r="J590" s="54">
        <v>0</v>
      </c>
      <c r="K590" s="54">
        <v>0</v>
      </c>
      <c r="L590" s="54">
        <v>0</v>
      </c>
      <c r="M590" s="43"/>
      <c r="N590" s="54">
        <v>0</v>
      </c>
      <c r="O590" s="54">
        <v>0</v>
      </c>
      <c r="P590" s="54">
        <v>0</v>
      </c>
      <c r="Q590" s="54">
        <v>134685.69</v>
      </c>
    </row>
    <row r="591" spans="1:17" ht="39.6">
      <c r="A591" s="47">
        <v>2024</v>
      </c>
      <c r="B591" s="50" t="s">
        <v>1411</v>
      </c>
      <c r="C591" s="50" t="s">
        <v>8972</v>
      </c>
      <c r="D591" s="47" t="s">
        <v>456</v>
      </c>
      <c r="E591" s="48" t="s">
        <v>1251</v>
      </c>
      <c r="F591" s="53">
        <v>441893.61</v>
      </c>
      <c r="G591" s="53">
        <v>0</v>
      </c>
      <c r="H591" s="53">
        <v>0</v>
      </c>
      <c r="I591" s="53">
        <v>0</v>
      </c>
      <c r="J591" s="53">
        <v>0</v>
      </c>
      <c r="K591" s="53">
        <v>0</v>
      </c>
      <c r="L591" s="53">
        <v>0</v>
      </c>
      <c r="M591" s="43"/>
      <c r="N591" s="53">
        <v>0</v>
      </c>
      <c r="O591" s="53">
        <v>0</v>
      </c>
      <c r="P591" s="53">
        <v>0</v>
      </c>
      <c r="Q591" s="53">
        <v>441893.61</v>
      </c>
    </row>
    <row r="592" spans="1:17" ht="26.45">
      <c r="A592" s="44">
        <v>2024</v>
      </c>
      <c r="B592" s="46" t="s">
        <v>1411</v>
      </c>
      <c r="C592" s="46" t="s">
        <v>8972</v>
      </c>
      <c r="D592" s="44" t="s">
        <v>457</v>
      </c>
      <c r="E592" s="45" t="s">
        <v>1252</v>
      </c>
      <c r="F592" s="54">
        <v>143399.20000000001</v>
      </c>
      <c r="G592" s="54">
        <v>0</v>
      </c>
      <c r="H592" s="54">
        <v>0</v>
      </c>
      <c r="I592" s="54">
        <v>0</v>
      </c>
      <c r="J592" s="54">
        <v>0</v>
      </c>
      <c r="K592" s="54">
        <v>0</v>
      </c>
      <c r="L592" s="54">
        <v>0</v>
      </c>
      <c r="M592" s="43"/>
      <c r="N592" s="54">
        <v>0</v>
      </c>
      <c r="O592" s="54">
        <v>0</v>
      </c>
      <c r="P592" s="54">
        <v>0</v>
      </c>
      <c r="Q592" s="54">
        <v>143399.20000000001</v>
      </c>
    </row>
    <row r="593" spans="1:17" ht="26.45">
      <c r="A593" s="47">
        <v>2024</v>
      </c>
      <c r="B593" s="50" t="s">
        <v>1411</v>
      </c>
      <c r="C593" s="50" t="s">
        <v>8972</v>
      </c>
      <c r="D593" s="47" t="s">
        <v>1253</v>
      </c>
      <c r="E593" s="48" t="s">
        <v>1254</v>
      </c>
      <c r="F593" s="53">
        <v>9268.09</v>
      </c>
      <c r="G593" s="53">
        <v>6956.53</v>
      </c>
      <c r="H593" s="53">
        <v>0</v>
      </c>
      <c r="I593" s="53">
        <v>0</v>
      </c>
      <c r="J593" s="53">
        <v>0</v>
      </c>
      <c r="K593" s="53">
        <v>0</v>
      </c>
      <c r="L593" s="53">
        <v>0</v>
      </c>
      <c r="M593" s="43"/>
      <c r="N593" s="53">
        <v>0</v>
      </c>
      <c r="O593" s="53">
        <v>0</v>
      </c>
      <c r="P593" s="53">
        <v>0</v>
      </c>
      <c r="Q593" s="53">
        <v>16224.62</v>
      </c>
    </row>
    <row r="594" spans="1:17" ht="26.45">
      <c r="A594" s="44">
        <v>2024</v>
      </c>
      <c r="B594" s="46" t="s">
        <v>1411</v>
      </c>
      <c r="C594" s="46" t="s">
        <v>8972</v>
      </c>
      <c r="D594" s="44" t="s">
        <v>1255</v>
      </c>
      <c r="E594" s="45" t="s">
        <v>1256</v>
      </c>
      <c r="F594" s="54">
        <v>109100.05</v>
      </c>
      <c r="G594" s="54">
        <v>0</v>
      </c>
      <c r="H594" s="54">
        <v>0</v>
      </c>
      <c r="I594" s="54">
        <v>0</v>
      </c>
      <c r="J594" s="54">
        <v>0</v>
      </c>
      <c r="K594" s="54">
        <v>0</v>
      </c>
      <c r="L594" s="54">
        <v>0</v>
      </c>
      <c r="M594" s="43"/>
      <c r="N594" s="54">
        <v>0</v>
      </c>
      <c r="O594" s="54">
        <v>0</v>
      </c>
      <c r="P594" s="54">
        <v>0</v>
      </c>
      <c r="Q594" s="54">
        <v>109100.05</v>
      </c>
    </row>
    <row r="595" spans="1:17" ht="26.45">
      <c r="A595" s="47">
        <v>2024</v>
      </c>
      <c r="B595" s="50" t="s">
        <v>1411</v>
      </c>
      <c r="C595" s="50" t="s">
        <v>8972</v>
      </c>
      <c r="D595" s="47" t="s">
        <v>458</v>
      </c>
      <c r="E595" s="48" t="s">
        <v>1257</v>
      </c>
      <c r="F595" s="53">
        <v>546110.68000000005</v>
      </c>
      <c r="G595" s="53">
        <v>235072.83</v>
      </c>
      <c r="H595" s="53">
        <v>0</v>
      </c>
      <c r="I595" s="53">
        <v>0</v>
      </c>
      <c r="J595" s="53">
        <v>0</v>
      </c>
      <c r="K595" s="53">
        <v>0</v>
      </c>
      <c r="L595" s="53">
        <v>0</v>
      </c>
      <c r="M595" s="43"/>
      <c r="N595" s="53">
        <v>0</v>
      </c>
      <c r="O595" s="53">
        <v>0</v>
      </c>
      <c r="P595" s="53">
        <v>0</v>
      </c>
      <c r="Q595" s="53">
        <v>781183.51</v>
      </c>
    </row>
    <row r="596" spans="1:17" ht="26.45">
      <c r="A596" s="44">
        <v>2024</v>
      </c>
      <c r="B596" s="46" t="s">
        <v>1411</v>
      </c>
      <c r="C596" s="46" t="s">
        <v>8972</v>
      </c>
      <c r="D596" s="44" t="s">
        <v>1258</v>
      </c>
      <c r="E596" s="45" t="s">
        <v>1259</v>
      </c>
      <c r="F596" s="54">
        <v>2410984.16</v>
      </c>
      <c r="G596" s="54">
        <v>1291616.07</v>
      </c>
      <c r="H596" s="54">
        <v>0</v>
      </c>
      <c r="I596" s="54">
        <v>0</v>
      </c>
      <c r="J596" s="54">
        <v>0</v>
      </c>
      <c r="K596" s="54">
        <v>0</v>
      </c>
      <c r="L596" s="54">
        <v>0</v>
      </c>
      <c r="M596" s="43"/>
      <c r="N596" s="54">
        <v>0</v>
      </c>
      <c r="O596" s="54">
        <v>0</v>
      </c>
      <c r="P596" s="54">
        <v>0</v>
      </c>
      <c r="Q596" s="54">
        <v>3702600.23</v>
      </c>
    </row>
    <row r="597" spans="1:17" ht="26.45">
      <c r="A597" s="47">
        <v>2024</v>
      </c>
      <c r="B597" s="50" t="s">
        <v>1411</v>
      </c>
      <c r="C597" s="50" t="s">
        <v>8972</v>
      </c>
      <c r="D597" s="47" t="s">
        <v>459</v>
      </c>
      <c r="E597" s="48" t="s">
        <v>1260</v>
      </c>
      <c r="F597" s="53">
        <v>252786.74</v>
      </c>
      <c r="G597" s="53">
        <v>16053.64</v>
      </c>
      <c r="H597" s="53">
        <v>0</v>
      </c>
      <c r="I597" s="53">
        <v>0</v>
      </c>
      <c r="J597" s="53">
        <v>0</v>
      </c>
      <c r="K597" s="53">
        <v>0</v>
      </c>
      <c r="L597" s="53">
        <v>0</v>
      </c>
      <c r="M597" s="43"/>
      <c r="N597" s="53">
        <v>0</v>
      </c>
      <c r="O597" s="53">
        <v>0</v>
      </c>
      <c r="P597" s="53">
        <v>0</v>
      </c>
      <c r="Q597" s="53">
        <v>268840.38</v>
      </c>
    </row>
    <row r="598" spans="1:17" ht="26.45">
      <c r="A598" s="44">
        <v>2024</v>
      </c>
      <c r="B598" s="46" t="s">
        <v>1411</v>
      </c>
      <c r="C598" s="46" t="s">
        <v>8972</v>
      </c>
      <c r="D598" s="44" t="s">
        <v>460</v>
      </c>
      <c r="E598" s="45" t="s">
        <v>1261</v>
      </c>
      <c r="F598" s="54">
        <v>198147.72</v>
      </c>
      <c r="G598" s="54">
        <v>0</v>
      </c>
      <c r="H598" s="54">
        <v>0</v>
      </c>
      <c r="I598" s="54">
        <v>0</v>
      </c>
      <c r="J598" s="54">
        <v>0</v>
      </c>
      <c r="K598" s="54">
        <v>0</v>
      </c>
      <c r="L598" s="54">
        <v>0</v>
      </c>
      <c r="M598" s="43"/>
      <c r="N598" s="54">
        <v>0</v>
      </c>
      <c r="O598" s="54">
        <v>0</v>
      </c>
      <c r="P598" s="54">
        <v>0</v>
      </c>
      <c r="Q598" s="54">
        <v>198147.72</v>
      </c>
    </row>
    <row r="599" spans="1:17" ht="26.45">
      <c r="A599" s="47">
        <v>2024</v>
      </c>
      <c r="B599" s="50" t="s">
        <v>1411</v>
      </c>
      <c r="C599" s="50" t="s">
        <v>8972</v>
      </c>
      <c r="D599" s="47" t="s">
        <v>461</v>
      </c>
      <c r="E599" s="48" t="s">
        <v>1262</v>
      </c>
      <c r="F599" s="53">
        <v>26374.82</v>
      </c>
      <c r="G599" s="53">
        <v>0</v>
      </c>
      <c r="H599" s="53">
        <v>0</v>
      </c>
      <c r="I599" s="53">
        <v>0</v>
      </c>
      <c r="J599" s="53">
        <v>0</v>
      </c>
      <c r="K599" s="53">
        <v>0</v>
      </c>
      <c r="L599" s="53">
        <v>0</v>
      </c>
      <c r="M599" s="43"/>
      <c r="N599" s="53">
        <v>0</v>
      </c>
      <c r="O599" s="53">
        <v>0</v>
      </c>
      <c r="P599" s="53">
        <v>0</v>
      </c>
      <c r="Q599" s="53">
        <v>26374.82</v>
      </c>
    </row>
    <row r="600" spans="1:17" ht="26.45">
      <c r="A600" s="44">
        <v>2024</v>
      </c>
      <c r="B600" s="46" t="s">
        <v>1411</v>
      </c>
      <c r="C600" s="46" t="s">
        <v>8972</v>
      </c>
      <c r="D600" s="44" t="s">
        <v>462</v>
      </c>
      <c r="E600" s="45" t="s">
        <v>1263</v>
      </c>
      <c r="F600" s="54">
        <v>34163.519999999997</v>
      </c>
      <c r="G600" s="54">
        <v>0</v>
      </c>
      <c r="H600" s="54">
        <v>0</v>
      </c>
      <c r="I600" s="54">
        <v>0</v>
      </c>
      <c r="J600" s="54">
        <v>0</v>
      </c>
      <c r="K600" s="54">
        <v>0</v>
      </c>
      <c r="L600" s="54">
        <v>0</v>
      </c>
      <c r="M600" s="43"/>
      <c r="N600" s="54">
        <v>0</v>
      </c>
      <c r="O600" s="54">
        <v>0</v>
      </c>
      <c r="P600" s="54">
        <v>0</v>
      </c>
      <c r="Q600" s="54">
        <v>34163.519999999997</v>
      </c>
    </row>
    <row r="601" spans="1:17" ht="26.45">
      <c r="A601" s="47">
        <v>2024</v>
      </c>
      <c r="B601" s="50" t="s">
        <v>1411</v>
      </c>
      <c r="C601" s="50" t="s">
        <v>8972</v>
      </c>
      <c r="D601" s="47" t="s">
        <v>463</v>
      </c>
      <c r="E601" s="48" t="s">
        <v>1264</v>
      </c>
      <c r="F601" s="53">
        <v>17973</v>
      </c>
      <c r="G601" s="53">
        <v>1141.31</v>
      </c>
      <c r="H601" s="53">
        <v>0</v>
      </c>
      <c r="I601" s="53">
        <v>0</v>
      </c>
      <c r="J601" s="53">
        <v>0</v>
      </c>
      <c r="K601" s="53">
        <v>0</v>
      </c>
      <c r="L601" s="53">
        <v>0</v>
      </c>
      <c r="M601" s="43"/>
      <c r="N601" s="53">
        <v>0</v>
      </c>
      <c r="O601" s="53">
        <v>0</v>
      </c>
      <c r="P601" s="53">
        <v>0</v>
      </c>
      <c r="Q601" s="53">
        <v>19114.310000000001</v>
      </c>
    </row>
    <row r="602" spans="1:17" ht="26.45">
      <c r="A602" s="44">
        <v>2024</v>
      </c>
      <c r="B602" s="46" t="s">
        <v>1411</v>
      </c>
      <c r="C602" s="46" t="s">
        <v>8972</v>
      </c>
      <c r="D602" s="44" t="s">
        <v>1265</v>
      </c>
      <c r="E602" s="45" t="s">
        <v>1266</v>
      </c>
      <c r="F602" s="54">
        <v>125851.04</v>
      </c>
      <c r="G602" s="54">
        <v>0</v>
      </c>
      <c r="H602" s="54">
        <v>0</v>
      </c>
      <c r="I602" s="54">
        <v>0</v>
      </c>
      <c r="J602" s="54">
        <v>0</v>
      </c>
      <c r="K602" s="54">
        <v>0</v>
      </c>
      <c r="L602" s="54">
        <v>0</v>
      </c>
      <c r="M602" s="43"/>
      <c r="N602" s="54">
        <v>0</v>
      </c>
      <c r="O602" s="54">
        <v>0</v>
      </c>
      <c r="P602" s="54">
        <v>0</v>
      </c>
      <c r="Q602" s="54">
        <v>125851.04</v>
      </c>
    </row>
    <row r="603" spans="1:17" ht="26.45">
      <c r="A603" s="47">
        <v>2024</v>
      </c>
      <c r="B603" s="50" t="s">
        <v>1411</v>
      </c>
      <c r="C603" s="50" t="s">
        <v>8972</v>
      </c>
      <c r="D603" s="47" t="s">
        <v>464</v>
      </c>
      <c r="E603" s="48" t="s">
        <v>1267</v>
      </c>
      <c r="F603" s="53">
        <v>389262.66</v>
      </c>
      <c r="G603" s="53">
        <v>72607.5</v>
      </c>
      <c r="H603" s="53">
        <v>0</v>
      </c>
      <c r="I603" s="53">
        <v>0</v>
      </c>
      <c r="J603" s="53">
        <v>0</v>
      </c>
      <c r="K603" s="53">
        <v>0</v>
      </c>
      <c r="L603" s="53">
        <v>0</v>
      </c>
      <c r="M603" s="43"/>
      <c r="N603" s="53">
        <v>0</v>
      </c>
      <c r="O603" s="53">
        <v>0</v>
      </c>
      <c r="P603" s="53">
        <v>0</v>
      </c>
      <c r="Q603" s="53">
        <v>461870.16</v>
      </c>
    </row>
    <row r="604" spans="1:17" ht="26.45">
      <c r="A604" s="44">
        <v>2024</v>
      </c>
      <c r="B604" s="46" t="s">
        <v>1411</v>
      </c>
      <c r="C604" s="46" t="s">
        <v>8972</v>
      </c>
      <c r="D604" s="44" t="s">
        <v>465</v>
      </c>
      <c r="E604" s="45" t="s">
        <v>1268</v>
      </c>
      <c r="F604" s="54">
        <v>75439.509999999995</v>
      </c>
      <c r="G604" s="54">
        <v>0</v>
      </c>
      <c r="H604" s="54">
        <v>0</v>
      </c>
      <c r="I604" s="54">
        <v>0</v>
      </c>
      <c r="J604" s="54">
        <v>0</v>
      </c>
      <c r="K604" s="54">
        <v>0</v>
      </c>
      <c r="L604" s="54">
        <v>0</v>
      </c>
      <c r="M604" s="43"/>
      <c r="N604" s="54">
        <v>0</v>
      </c>
      <c r="O604" s="54">
        <v>0</v>
      </c>
      <c r="P604" s="54">
        <v>0</v>
      </c>
      <c r="Q604" s="54">
        <v>75439.509999999995</v>
      </c>
    </row>
    <row r="605" spans="1:17" ht="26.45">
      <c r="A605" s="47">
        <v>2024</v>
      </c>
      <c r="B605" s="50" t="s">
        <v>1411</v>
      </c>
      <c r="C605" s="50" t="s">
        <v>8972</v>
      </c>
      <c r="D605" s="47" t="s">
        <v>466</v>
      </c>
      <c r="E605" s="48" t="s">
        <v>1269</v>
      </c>
      <c r="F605" s="53">
        <v>66729.72</v>
      </c>
      <c r="G605" s="53">
        <v>0</v>
      </c>
      <c r="H605" s="53">
        <v>0</v>
      </c>
      <c r="I605" s="53">
        <v>0</v>
      </c>
      <c r="J605" s="53">
        <v>0</v>
      </c>
      <c r="K605" s="53">
        <v>0</v>
      </c>
      <c r="L605" s="53">
        <v>0</v>
      </c>
      <c r="M605" s="43"/>
      <c r="N605" s="53">
        <v>0</v>
      </c>
      <c r="O605" s="53">
        <v>0</v>
      </c>
      <c r="P605" s="53">
        <v>0</v>
      </c>
      <c r="Q605" s="53">
        <v>66729.72</v>
      </c>
    </row>
    <row r="606" spans="1:17" ht="26.45">
      <c r="A606" s="44">
        <v>2024</v>
      </c>
      <c r="B606" s="46" t="s">
        <v>1411</v>
      </c>
      <c r="C606" s="46" t="s">
        <v>8972</v>
      </c>
      <c r="D606" s="44" t="s">
        <v>1270</v>
      </c>
      <c r="E606" s="45" t="s">
        <v>1271</v>
      </c>
      <c r="F606" s="54">
        <v>24222.13</v>
      </c>
      <c r="G606" s="54">
        <v>0</v>
      </c>
      <c r="H606" s="54">
        <v>0</v>
      </c>
      <c r="I606" s="54">
        <v>0</v>
      </c>
      <c r="J606" s="54">
        <v>0</v>
      </c>
      <c r="K606" s="54">
        <v>0</v>
      </c>
      <c r="L606" s="54">
        <v>0</v>
      </c>
      <c r="M606" s="43"/>
      <c r="N606" s="54">
        <v>0</v>
      </c>
      <c r="O606" s="54">
        <v>0</v>
      </c>
      <c r="P606" s="54">
        <v>0</v>
      </c>
      <c r="Q606" s="54">
        <v>24222.13</v>
      </c>
    </row>
    <row r="607" spans="1:17" ht="26.45">
      <c r="A607" s="47">
        <v>2024</v>
      </c>
      <c r="B607" s="50" t="s">
        <v>1411</v>
      </c>
      <c r="C607" s="50" t="s">
        <v>8972</v>
      </c>
      <c r="D607" s="47" t="s">
        <v>467</v>
      </c>
      <c r="E607" s="48" t="s">
        <v>1272</v>
      </c>
      <c r="F607" s="53">
        <v>10184702.859999999</v>
      </c>
      <c r="G607" s="53">
        <v>2093431.22</v>
      </c>
      <c r="H607" s="53">
        <v>0</v>
      </c>
      <c r="I607" s="53">
        <v>0</v>
      </c>
      <c r="J607" s="53">
        <v>0</v>
      </c>
      <c r="K607" s="53">
        <v>0</v>
      </c>
      <c r="L607" s="53">
        <v>0</v>
      </c>
      <c r="M607" s="43"/>
      <c r="N607" s="53">
        <v>0</v>
      </c>
      <c r="O607" s="53">
        <v>0</v>
      </c>
      <c r="P607" s="53">
        <v>0</v>
      </c>
      <c r="Q607" s="53">
        <v>12278134.08</v>
      </c>
    </row>
    <row r="608" spans="1:17" ht="39.6">
      <c r="A608" s="44">
        <v>2024</v>
      </c>
      <c r="B608" s="46" t="s">
        <v>1411</v>
      </c>
      <c r="C608" s="46" t="s">
        <v>8972</v>
      </c>
      <c r="D608" s="44" t="s">
        <v>1273</v>
      </c>
      <c r="E608" s="45" t="s">
        <v>1274</v>
      </c>
      <c r="F608" s="54">
        <v>73177.89</v>
      </c>
      <c r="G608" s="54">
        <v>44902.35</v>
      </c>
      <c r="H608" s="54">
        <v>0</v>
      </c>
      <c r="I608" s="54">
        <v>0</v>
      </c>
      <c r="J608" s="54">
        <v>0</v>
      </c>
      <c r="K608" s="54">
        <v>0</v>
      </c>
      <c r="L608" s="54">
        <v>0</v>
      </c>
      <c r="M608" s="43"/>
      <c r="N608" s="54">
        <v>0</v>
      </c>
      <c r="O608" s="54">
        <v>0</v>
      </c>
      <c r="P608" s="54">
        <v>0</v>
      </c>
      <c r="Q608" s="54">
        <v>118080.24</v>
      </c>
    </row>
    <row r="609" spans="1:17" ht="39.6">
      <c r="A609" s="47">
        <v>2024</v>
      </c>
      <c r="B609" s="50" t="s">
        <v>1411</v>
      </c>
      <c r="C609" s="50" t="s">
        <v>8972</v>
      </c>
      <c r="D609" s="47" t="s">
        <v>468</v>
      </c>
      <c r="E609" s="48" t="s">
        <v>1275</v>
      </c>
      <c r="F609" s="53">
        <v>31068.63</v>
      </c>
      <c r="G609" s="53">
        <v>0</v>
      </c>
      <c r="H609" s="53">
        <v>0</v>
      </c>
      <c r="I609" s="53">
        <v>0</v>
      </c>
      <c r="J609" s="53">
        <v>0</v>
      </c>
      <c r="K609" s="53">
        <v>0</v>
      </c>
      <c r="L609" s="53">
        <v>0</v>
      </c>
      <c r="M609" s="43"/>
      <c r="N609" s="53">
        <v>0</v>
      </c>
      <c r="O609" s="53">
        <v>0</v>
      </c>
      <c r="P609" s="53">
        <v>0</v>
      </c>
      <c r="Q609" s="53">
        <v>31068.63</v>
      </c>
    </row>
    <row r="610" spans="1:17" ht="26.45">
      <c r="A610" s="44">
        <v>2024</v>
      </c>
      <c r="B610" s="46" t="s">
        <v>1411</v>
      </c>
      <c r="C610" s="46" t="s">
        <v>8972</v>
      </c>
      <c r="D610" s="44" t="s">
        <v>469</v>
      </c>
      <c r="E610" s="45" t="s">
        <v>1276</v>
      </c>
      <c r="F610" s="54">
        <v>285412.82</v>
      </c>
      <c r="G610" s="54">
        <v>97779.98</v>
      </c>
      <c r="H610" s="54">
        <v>0</v>
      </c>
      <c r="I610" s="54">
        <v>0</v>
      </c>
      <c r="J610" s="54">
        <v>0</v>
      </c>
      <c r="K610" s="54">
        <v>0</v>
      </c>
      <c r="L610" s="54">
        <v>0</v>
      </c>
      <c r="M610" s="43"/>
      <c r="N610" s="54">
        <v>0</v>
      </c>
      <c r="O610" s="54">
        <v>0</v>
      </c>
      <c r="P610" s="54">
        <v>0</v>
      </c>
      <c r="Q610" s="54">
        <v>383192.8</v>
      </c>
    </row>
    <row r="611" spans="1:17" ht="26.45">
      <c r="A611" s="47">
        <v>2024</v>
      </c>
      <c r="B611" s="50" t="s">
        <v>1411</v>
      </c>
      <c r="C611" s="50" t="s">
        <v>8972</v>
      </c>
      <c r="D611" s="47" t="s">
        <v>470</v>
      </c>
      <c r="E611" s="48" t="s">
        <v>1277</v>
      </c>
      <c r="F611" s="53">
        <v>2351510.7200000002</v>
      </c>
      <c r="G611" s="53">
        <v>173426.74</v>
      </c>
      <c r="H611" s="53">
        <v>0</v>
      </c>
      <c r="I611" s="53">
        <v>0</v>
      </c>
      <c r="J611" s="53">
        <v>0</v>
      </c>
      <c r="K611" s="53">
        <v>0</v>
      </c>
      <c r="L611" s="53">
        <v>0</v>
      </c>
      <c r="M611" s="43"/>
      <c r="N611" s="53">
        <v>0</v>
      </c>
      <c r="O611" s="53">
        <v>0</v>
      </c>
      <c r="P611" s="53">
        <v>0</v>
      </c>
      <c r="Q611" s="53">
        <v>2524937.46</v>
      </c>
    </row>
    <row r="612" spans="1:17" ht="26.45">
      <c r="A612" s="44">
        <v>2024</v>
      </c>
      <c r="B612" s="46" t="s">
        <v>1411</v>
      </c>
      <c r="C612" s="46" t="s">
        <v>8972</v>
      </c>
      <c r="D612" s="44" t="s">
        <v>471</v>
      </c>
      <c r="E612" s="45" t="s">
        <v>1278</v>
      </c>
      <c r="F612" s="54">
        <v>17146.259999999998</v>
      </c>
      <c r="G612" s="54">
        <v>3806.68</v>
      </c>
      <c r="H612" s="54">
        <v>0</v>
      </c>
      <c r="I612" s="54">
        <v>0</v>
      </c>
      <c r="J612" s="54">
        <v>0</v>
      </c>
      <c r="K612" s="54">
        <v>0</v>
      </c>
      <c r="L612" s="54">
        <v>0</v>
      </c>
      <c r="M612" s="43"/>
      <c r="N612" s="54">
        <v>0</v>
      </c>
      <c r="O612" s="54">
        <v>0</v>
      </c>
      <c r="P612" s="54">
        <v>0</v>
      </c>
      <c r="Q612" s="54">
        <v>20952.939999999999</v>
      </c>
    </row>
    <row r="613" spans="1:17" ht="52.9">
      <c r="A613" s="47">
        <v>2024</v>
      </c>
      <c r="B613" s="50" t="s">
        <v>1411</v>
      </c>
      <c r="C613" s="50" t="s">
        <v>8972</v>
      </c>
      <c r="D613" s="47" t="s">
        <v>472</v>
      </c>
      <c r="E613" s="48" t="s">
        <v>1279</v>
      </c>
      <c r="F613" s="53">
        <v>42676.62</v>
      </c>
      <c r="G613" s="53">
        <v>0</v>
      </c>
      <c r="H613" s="53">
        <v>0</v>
      </c>
      <c r="I613" s="53">
        <v>0</v>
      </c>
      <c r="J613" s="53">
        <v>0</v>
      </c>
      <c r="K613" s="53">
        <v>0</v>
      </c>
      <c r="L613" s="53">
        <v>0</v>
      </c>
      <c r="M613" s="43"/>
      <c r="N613" s="53">
        <v>0</v>
      </c>
      <c r="O613" s="53">
        <v>0</v>
      </c>
      <c r="P613" s="53">
        <v>0</v>
      </c>
      <c r="Q613" s="53">
        <v>42676.62</v>
      </c>
    </row>
    <row r="614" spans="1:17" ht="26.45">
      <c r="A614" s="44">
        <v>2024</v>
      </c>
      <c r="B614" s="46" t="s">
        <v>1411</v>
      </c>
      <c r="C614" s="46" t="s">
        <v>8972</v>
      </c>
      <c r="D614" s="44" t="s">
        <v>1280</v>
      </c>
      <c r="E614" s="45" t="s">
        <v>1281</v>
      </c>
      <c r="F614" s="54">
        <v>29084.85</v>
      </c>
      <c r="G614" s="54">
        <v>0</v>
      </c>
      <c r="H614" s="54">
        <v>0</v>
      </c>
      <c r="I614" s="54">
        <v>0</v>
      </c>
      <c r="J614" s="54">
        <v>0</v>
      </c>
      <c r="K614" s="54">
        <v>0</v>
      </c>
      <c r="L614" s="54">
        <v>0</v>
      </c>
      <c r="M614" s="43"/>
      <c r="N614" s="54">
        <v>0</v>
      </c>
      <c r="O614" s="54">
        <v>0</v>
      </c>
      <c r="P614" s="54">
        <v>0</v>
      </c>
      <c r="Q614" s="54">
        <v>29084.85</v>
      </c>
    </row>
    <row r="615" spans="1:17" ht="26.45">
      <c r="A615" s="47">
        <v>2024</v>
      </c>
      <c r="B615" s="50" t="s">
        <v>1411</v>
      </c>
      <c r="C615" s="50" t="s">
        <v>8972</v>
      </c>
      <c r="D615" s="47" t="s">
        <v>1282</v>
      </c>
      <c r="E615" s="48" t="s">
        <v>1283</v>
      </c>
      <c r="F615" s="53">
        <v>24888.37</v>
      </c>
      <c r="G615" s="53">
        <v>0</v>
      </c>
      <c r="H615" s="53">
        <v>0</v>
      </c>
      <c r="I615" s="53">
        <v>0</v>
      </c>
      <c r="J615" s="53">
        <v>0</v>
      </c>
      <c r="K615" s="53">
        <v>0</v>
      </c>
      <c r="L615" s="53">
        <v>0</v>
      </c>
      <c r="M615" s="43"/>
      <c r="N615" s="53">
        <v>0</v>
      </c>
      <c r="O615" s="53">
        <v>0</v>
      </c>
      <c r="P615" s="53">
        <v>0</v>
      </c>
      <c r="Q615" s="53">
        <v>24888.37</v>
      </c>
    </row>
    <row r="616" spans="1:17" ht="26.45">
      <c r="A616" s="44">
        <v>2024</v>
      </c>
      <c r="B616" s="46" t="s">
        <v>1411</v>
      </c>
      <c r="C616" s="46" t="s">
        <v>8972</v>
      </c>
      <c r="D616" s="44" t="s">
        <v>473</v>
      </c>
      <c r="E616" s="45" t="s">
        <v>1284</v>
      </c>
      <c r="F616" s="54">
        <v>36990.839999999997</v>
      </c>
      <c r="G616" s="54">
        <v>0</v>
      </c>
      <c r="H616" s="54">
        <v>0</v>
      </c>
      <c r="I616" s="54">
        <v>0</v>
      </c>
      <c r="J616" s="54">
        <v>0</v>
      </c>
      <c r="K616" s="54">
        <v>0</v>
      </c>
      <c r="L616" s="54">
        <v>0</v>
      </c>
      <c r="M616" s="43"/>
      <c r="N616" s="54">
        <v>0</v>
      </c>
      <c r="O616" s="54">
        <v>0</v>
      </c>
      <c r="P616" s="54">
        <v>0</v>
      </c>
      <c r="Q616" s="54">
        <v>36990.839999999997</v>
      </c>
    </row>
    <row r="617" spans="1:17" ht="26.45">
      <c r="A617" s="47">
        <v>2024</v>
      </c>
      <c r="B617" s="50" t="s">
        <v>1411</v>
      </c>
      <c r="C617" s="50" t="s">
        <v>8972</v>
      </c>
      <c r="D617" s="47" t="s">
        <v>1285</v>
      </c>
      <c r="E617" s="48" t="s">
        <v>1286</v>
      </c>
      <c r="F617" s="53">
        <v>107553.89</v>
      </c>
      <c r="G617" s="53">
        <v>4255.25</v>
      </c>
      <c r="H617" s="53">
        <v>0</v>
      </c>
      <c r="I617" s="53">
        <v>0</v>
      </c>
      <c r="J617" s="53">
        <v>0</v>
      </c>
      <c r="K617" s="53">
        <v>0</v>
      </c>
      <c r="L617" s="53">
        <v>0</v>
      </c>
      <c r="M617" s="43"/>
      <c r="N617" s="53">
        <v>0</v>
      </c>
      <c r="O617" s="53">
        <v>0</v>
      </c>
      <c r="P617" s="53">
        <v>0</v>
      </c>
      <c r="Q617" s="53">
        <v>111809.14</v>
      </c>
    </row>
    <row r="618" spans="1:17" ht="26.45">
      <c r="A618" s="44">
        <v>2024</v>
      </c>
      <c r="B618" s="46" t="s">
        <v>1411</v>
      </c>
      <c r="C618" s="46" t="s">
        <v>8972</v>
      </c>
      <c r="D618" s="44" t="s">
        <v>474</v>
      </c>
      <c r="E618" s="45" t="s">
        <v>1287</v>
      </c>
      <c r="F618" s="54">
        <v>38483.160000000003</v>
      </c>
      <c r="G618" s="54">
        <v>10654.04</v>
      </c>
      <c r="H618" s="54">
        <v>0</v>
      </c>
      <c r="I618" s="54">
        <v>0</v>
      </c>
      <c r="J618" s="54">
        <v>0</v>
      </c>
      <c r="K618" s="54">
        <v>0</v>
      </c>
      <c r="L618" s="54">
        <v>0</v>
      </c>
      <c r="M618" s="43"/>
      <c r="N618" s="54">
        <v>0</v>
      </c>
      <c r="O618" s="54">
        <v>0</v>
      </c>
      <c r="P618" s="54">
        <v>0</v>
      </c>
      <c r="Q618" s="54">
        <v>49137.2</v>
      </c>
    </row>
    <row r="619" spans="1:17" ht="26.45">
      <c r="A619" s="47">
        <v>2024</v>
      </c>
      <c r="B619" s="50" t="s">
        <v>1411</v>
      </c>
      <c r="C619" s="50" t="s">
        <v>8972</v>
      </c>
      <c r="D619" s="47" t="s">
        <v>475</v>
      </c>
      <c r="E619" s="48" t="s">
        <v>1288</v>
      </c>
      <c r="F619" s="53">
        <v>63519.73</v>
      </c>
      <c r="G619" s="53">
        <v>5046.75</v>
      </c>
      <c r="H619" s="53">
        <v>0</v>
      </c>
      <c r="I619" s="53">
        <v>0</v>
      </c>
      <c r="J619" s="53">
        <v>0</v>
      </c>
      <c r="K619" s="53">
        <v>0</v>
      </c>
      <c r="L619" s="53">
        <v>0</v>
      </c>
      <c r="M619" s="43"/>
      <c r="N619" s="53">
        <v>0</v>
      </c>
      <c r="O619" s="53">
        <v>0</v>
      </c>
      <c r="P619" s="53">
        <v>0</v>
      </c>
      <c r="Q619" s="53">
        <v>68566.48</v>
      </c>
    </row>
    <row r="620" spans="1:17" ht="26.45">
      <c r="A620" s="44">
        <v>2024</v>
      </c>
      <c r="B620" s="46" t="s">
        <v>1411</v>
      </c>
      <c r="C620" s="46" t="s">
        <v>8972</v>
      </c>
      <c r="D620" s="44" t="s">
        <v>476</v>
      </c>
      <c r="E620" s="45" t="s">
        <v>1289</v>
      </c>
      <c r="F620" s="54">
        <v>82311.59</v>
      </c>
      <c r="G620" s="54">
        <v>4450.07</v>
      </c>
      <c r="H620" s="54">
        <v>0</v>
      </c>
      <c r="I620" s="54">
        <v>0</v>
      </c>
      <c r="J620" s="54">
        <v>0</v>
      </c>
      <c r="K620" s="54">
        <v>0</v>
      </c>
      <c r="L620" s="54">
        <v>0</v>
      </c>
      <c r="M620" s="43"/>
      <c r="N620" s="54">
        <v>0</v>
      </c>
      <c r="O620" s="54">
        <v>0</v>
      </c>
      <c r="P620" s="54">
        <v>0</v>
      </c>
      <c r="Q620" s="54">
        <v>86761.66</v>
      </c>
    </row>
    <row r="621" spans="1:17" ht="26.45">
      <c r="A621" s="47">
        <v>2024</v>
      </c>
      <c r="B621" s="50" t="s">
        <v>1411</v>
      </c>
      <c r="C621" s="50" t="s">
        <v>8972</v>
      </c>
      <c r="D621" s="47" t="s">
        <v>1290</v>
      </c>
      <c r="E621" s="48" t="s">
        <v>1291</v>
      </c>
      <c r="F621" s="53">
        <v>746.42</v>
      </c>
      <c r="G621" s="53">
        <v>0</v>
      </c>
      <c r="H621" s="53">
        <v>0</v>
      </c>
      <c r="I621" s="53">
        <v>0</v>
      </c>
      <c r="J621" s="53">
        <v>0</v>
      </c>
      <c r="K621" s="53">
        <v>0</v>
      </c>
      <c r="L621" s="53">
        <v>-746.42</v>
      </c>
      <c r="M621" s="43"/>
      <c r="N621" s="53">
        <v>0</v>
      </c>
      <c r="O621" s="53">
        <v>0</v>
      </c>
      <c r="P621" s="53">
        <v>0</v>
      </c>
      <c r="Q621" s="53">
        <v>0</v>
      </c>
    </row>
    <row r="622" spans="1:17" ht="26.45">
      <c r="A622" s="44">
        <v>2024</v>
      </c>
      <c r="B622" s="46" t="s">
        <v>1411</v>
      </c>
      <c r="C622" s="46" t="s">
        <v>8972</v>
      </c>
      <c r="D622" s="44" t="s">
        <v>477</v>
      </c>
      <c r="E622" s="45" t="s">
        <v>1292</v>
      </c>
      <c r="F622" s="54">
        <v>302311.03000000003</v>
      </c>
      <c r="G622" s="54">
        <v>0</v>
      </c>
      <c r="H622" s="54">
        <v>0</v>
      </c>
      <c r="I622" s="54">
        <v>0</v>
      </c>
      <c r="J622" s="54">
        <v>0</v>
      </c>
      <c r="K622" s="54">
        <v>0</v>
      </c>
      <c r="L622" s="54">
        <v>0</v>
      </c>
      <c r="M622" s="43"/>
      <c r="N622" s="54">
        <v>0</v>
      </c>
      <c r="O622" s="54">
        <v>0</v>
      </c>
      <c r="P622" s="54">
        <v>0</v>
      </c>
      <c r="Q622" s="54">
        <v>302311.03000000003</v>
      </c>
    </row>
    <row r="623" spans="1:17" ht="26.45">
      <c r="A623" s="47">
        <v>2024</v>
      </c>
      <c r="B623" s="50" t="s">
        <v>1411</v>
      </c>
      <c r="C623" s="50" t="s">
        <v>8972</v>
      </c>
      <c r="D623" s="47" t="s">
        <v>478</v>
      </c>
      <c r="E623" s="48" t="s">
        <v>1293</v>
      </c>
      <c r="F623" s="53">
        <v>5092766.7</v>
      </c>
      <c r="G623" s="53">
        <v>183330.65</v>
      </c>
      <c r="H623" s="53">
        <v>0</v>
      </c>
      <c r="I623" s="53">
        <v>0</v>
      </c>
      <c r="J623" s="53">
        <v>0</v>
      </c>
      <c r="K623" s="53">
        <v>0</v>
      </c>
      <c r="L623" s="53">
        <v>0</v>
      </c>
      <c r="M623" s="43"/>
      <c r="N623" s="53">
        <v>0</v>
      </c>
      <c r="O623" s="53">
        <v>0</v>
      </c>
      <c r="P623" s="53">
        <v>0</v>
      </c>
      <c r="Q623" s="53">
        <v>5276097.3499999996</v>
      </c>
    </row>
    <row r="624" spans="1:17" ht="26.45">
      <c r="A624" s="44">
        <v>2024</v>
      </c>
      <c r="B624" s="46" t="s">
        <v>1411</v>
      </c>
      <c r="C624" s="46" t="s">
        <v>8972</v>
      </c>
      <c r="D624" s="44" t="s">
        <v>479</v>
      </c>
      <c r="E624" s="45" t="s">
        <v>1294</v>
      </c>
      <c r="F624" s="54">
        <v>51610.26</v>
      </c>
      <c r="G624" s="54">
        <v>0</v>
      </c>
      <c r="H624" s="54">
        <v>0</v>
      </c>
      <c r="I624" s="54">
        <v>0</v>
      </c>
      <c r="J624" s="54">
        <v>0</v>
      </c>
      <c r="K624" s="54">
        <v>0</v>
      </c>
      <c r="L624" s="54">
        <v>0</v>
      </c>
      <c r="M624" s="43"/>
      <c r="N624" s="54">
        <v>0</v>
      </c>
      <c r="O624" s="54">
        <v>0</v>
      </c>
      <c r="P624" s="54">
        <v>0</v>
      </c>
      <c r="Q624" s="54">
        <v>51610.26</v>
      </c>
    </row>
    <row r="625" spans="1:17" ht="26.45">
      <c r="A625" s="47">
        <v>2024</v>
      </c>
      <c r="B625" s="50" t="s">
        <v>1411</v>
      </c>
      <c r="C625" s="50" t="s">
        <v>8972</v>
      </c>
      <c r="D625" s="47" t="s">
        <v>480</v>
      </c>
      <c r="E625" s="48" t="s">
        <v>1295</v>
      </c>
      <c r="F625" s="53">
        <v>28562.240000000002</v>
      </c>
      <c r="G625" s="53">
        <v>0</v>
      </c>
      <c r="H625" s="53">
        <v>0</v>
      </c>
      <c r="I625" s="53">
        <v>0</v>
      </c>
      <c r="J625" s="53">
        <v>0</v>
      </c>
      <c r="K625" s="53">
        <v>0</v>
      </c>
      <c r="L625" s="53">
        <v>0</v>
      </c>
      <c r="M625" s="43"/>
      <c r="N625" s="53">
        <v>0</v>
      </c>
      <c r="O625" s="53">
        <v>0</v>
      </c>
      <c r="P625" s="53">
        <v>0</v>
      </c>
      <c r="Q625" s="53">
        <v>28562.240000000002</v>
      </c>
    </row>
    <row r="626" spans="1:17" ht="26.45">
      <c r="A626" s="44">
        <v>2024</v>
      </c>
      <c r="B626" s="46" t="s">
        <v>1411</v>
      </c>
      <c r="C626" s="46" t="s">
        <v>8972</v>
      </c>
      <c r="D626" s="44" t="s">
        <v>481</v>
      </c>
      <c r="E626" s="45" t="s">
        <v>1296</v>
      </c>
      <c r="F626" s="54">
        <v>50410.07</v>
      </c>
      <c r="G626" s="54">
        <v>1254.69</v>
      </c>
      <c r="H626" s="54">
        <v>0</v>
      </c>
      <c r="I626" s="54">
        <v>0</v>
      </c>
      <c r="J626" s="54">
        <v>0</v>
      </c>
      <c r="K626" s="54">
        <v>0</v>
      </c>
      <c r="L626" s="54">
        <v>0</v>
      </c>
      <c r="M626" s="43"/>
      <c r="N626" s="54">
        <v>0</v>
      </c>
      <c r="O626" s="54">
        <v>0</v>
      </c>
      <c r="P626" s="54">
        <v>0</v>
      </c>
      <c r="Q626" s="54">
        <v>51664.76</v>
      </c>
    </row>
    <row r="627" spans="1:17" ht="26.45">
      <c r="A627" s="47">
        <v>2024</v>
      </c>
      <c r="B627" s="50" t="s">
        <v>1411</v>
      </c>
      <c r="C627" s="50" t="s">
        <v>8972</v>
      </c>
      <c r="D627" s="47" t="s">
        <v>482</v>
      </c>
      <c r="E627" s="48" t="s">
        <v>1297</v>
      </c>
      <c r="F627" s="53">
        <v>14332.71</v>
      </c>
      <c r="G627" s="53">
        <v>2667.05</v>
      </c>
      <c r="H627" s="53">
        <v>0</v>
      </c>
      <c r="I627" s="53">
        <v>0</v>
      </c>
      <c r="J627" s="53">
        <v>0</v>
      </c>
      <c r="K627" s="53">
        <v>0</v>
      </c>
      <c r="L627" s="53">
        <v>0</v>
      </c>
      <c r="M627" s="43"/>
      <c r="N627" s="53">
        <v>0</v>
      </c>
      <c r="O627" s="53">
        <v>0</v>
      </c>
      <c r="P627" s="53">
        <v>0</v>
      </c>
      <c r="Q627" s="53">
        <v>16999.759999999998</v>
      </c>
    </row>
    <row r="628" spans="1:17" ht="39.6">
      <c r="A628" s="44">
        <v>2024</v>
      </c>
      <c r="B628" s="46" t="s">
        <v>1411</v>
      </c>
      <c r="C628" s="46" t="s">
        <v>8972</v>
      </c>
      <c r="D628" s="44" t="s">
        <v>483</v>
      </c>
      <c r="E628" s="45" t="s">
        <v>1298</v>
      </c>
      <c r="F628" s="54">
        <v>43325.17</v>
      </c>
      <c r="G628" s="54">
        <v>0</v>
      </c>
      <c r="H628" s="54">
        <v>0</v>
      </c>
      <c r="I628" s="54">
        <v>0</v>
      </c>
      <c r="J628" s="54">
        <v>0</v>
      </c>
      <c r="K628" s="54">
        <v>0</v>
      </c>
      <c r="L628" s="54">
        <v>0</v>
      </c>
      <c r="M628" s="43"/>
      <c r="N628" s="54">
        <v>0</v>
      </c>
      <c r="O628" s="54">
        <v>0</v>
      </c>
      <c r="P628" s="54">
        <v>0</v>
      </c>
      <c r="Q628" s="54">
        <v>43325.17</v>
      </c>
    </row>
    <row r="629" spans="1:17" ht="39.6">
      <c r="A629" s="47">
        <v>2024</v>
      </c>
      <c r="B629" s="50" t="s">
        <v>1411</v>
      </c>
      <c r="C629" s="50" t="s">
        <v>8972</v>
      </c>
      <c r="D629" s="47" t="s">
        <v>1299</v>
      </c>
      <c r="E629" s="48" t="s">
        <v>1300</v>
      </c>
      <c r="F629" s="53">
        <v>93616.6</v>
      </c>
      <c r="G629" s="53">
        <v>69652.160000000003</v>
      </c>
      <c r="H629" s="53">
        <v>0</v>
      </c>
      <c r="I629" s="53">
        <v>0</v>
      </c>
      <c r="J629" s="53">
        <v>0</v>
      </c>
      <c r="K629" s="53">
        <v>0</v>
      </c>
      <c r="L629" s="53">
        <v>0</v>
      </c>
      <c r="M629" s="43"/>
      <c r="N629" s="53">
        <v>0</v>
      </c>
      <c r="O629" s="53">
        <v>0</v>
      </c>
      <c r="P629" s="53">
        <v>0</v>
      </c>
      <c r="Q629" s="53">
        <v>163268.76</v>
      </c>
    </row>
    <row r="630" spans="1:17" ht="26.45">
      <c r="A630" s="44">
        <v>2024</v>
      </c>
      <c r="B630" s="46" t="s">
        <v>1411</v>
      </c>
      <c r="C630" s="46" t="s">
        <v>8972</v>
      </c>
      <c r="D630" s="44" t="s">
        <v>484</v>
      </c>
      <c r="E630" s="45" t="s">
        <v>1301</v>
      </c>
      <c r="F630" s="54">
        <v>592591.39</v>
      </c>
      <c r="G630" s="54">
        <v>106652.7</v>
      </c>
      <c r="H630" s="54">
        <v>0</v>
      </c>
      <c r="I630" s="54">
        <v>0</v>
      </c>
      <c r="J630" s="54">
        <v>0</v>
      </c>
      <c r="K630" s="54">
        <v>0</v>
      </c>
      <c r="L630" s="54">
        <v>0</v>
      </c>
      <c r="M630" s="43"/>
      <c r="N630" s="54">
        <v>0</v>
      </c>
      <c r="O630" s="54">
        <v>0</v>
      </c>
      <c r="P630" s="54">
        <v>0</v>
      </c>
      <c r="Q630" s="54">
        <v>699244.09</v>
      </c>
    </row>
    <row r="631" spans="1:17" ht="26.45">
      <c r="A631" s="47">
        <v>2024</v>
      </c>
      <c r="B631" s="50" t="s">
        <v>1411</v>
      </c>
      <c r="C631" s="50" t="s">
        <v>8972</v>
      </c>
      <c r="D631" s="47" t="s">
        <v>485</v>
      </c>
      <c r="E631" s="48" t="s">
        <v>1302</v>
      </c>
      <c r="F631" s="53">
        <v>265174.78999999998</v>
      </c>
      <c r="G631" s="53">
        <v>40833.620000000003</v>
      </c>
      <c r="H631" s="53">
        <v>0</v>
      </c>
      <c r="I631" s="53">
        <v>0</v>
      </c>
      <c r="J631" s="53">
        <v>0</v>
      </c>
      <c r="K631" s="53">
        <v>0</v>
      </c>
      <c r="L631" s="53">
        <v>0</v>
      </c>
      <c r="M631" s="43"/>
      <c r="N631" s="53">
        <v>0</v>
      </c>
      <c r="O631" s="53">
        <v>0</v>
      </c>
      <c r="P631" s="53">
        <v>0</v>
      </c>
      <c r="Q631" s="53">
        <v>306008.40999999997</v>
      </c>
    </row>
    <row r="632" spans="1:17" ht="26.45">
      <c r="A632" s="44">
        <v>2024</v>
      </c>
      <c r="B632" s="46" t="s">
        <v>1411</v>
      </c>
      <c r="C632" s="46" t="s">
        <v>8972</v>
      </c>
      <c r="D632" s="44" t="s">
        <v>486</v>
      </c>
      <c r="E632" s="45" t="s">
        <v>1303</v>
      </c>
      <c r="F632" s="54">
        <v>245327.59</v>
      </c>
      <c r="G632" s="54">
        <v>0</v>
      </c>
      <c r="H632" s="54">
        <v>0</v>
      </c>
      <c r="I632" s="54">
        <v>0</v>
      </c>
      <c r="J632" s="54">
        <v>0</v>
      </c>
      <c r="K632" s="54">
        <v>0</v>
      </c>
      <c r="L632" s="54">
        <v>0</v>
      </c>
      <c r="M632" s="43"/>
      <c r="N632" s="54">
        <v>0</v>
      </c>
      <c r="O632" s="54">
        <v>0</v>
      </c>
      <c r="P632" s="54">
        <v>0</v>
      </c>
      <c r="Q632" s="54">
        <v>245327.59</v>
      </c>
    </row>
    <row r="633" spans="1:17" ht="26.45">
      <c r="A633" s="47">
        <v>2024</v>
      </c>
      <c r="B633" s="50" t="s">
        <v>1411</v>
      </c>
      <c r="C633" s="50" t="s">
        <v>8972</v>
      </c>
      <c r="D633" s="47" t="s">
        <v>487</v>
      </c>
      <c r="E633" s="48" t="s">
        <v>1304</v>
      </c>
      <c r="F633" s="53">
        <v>163448.31</v>
      </c>
      <c r="G633" s="53">
        <v>48854.74</v>
      </c>
      <c r="H633" s="53">
        <v>0</v>
      </c>
      <c r="I633" s="53">
        <v>0</v>
      </c>
      <c r="J633" s="53">
        <v>0</v>
      </c>
      <c r="K633" s="53">
        <v>0</v>
      </c>
      <c r="L633" s="53">
        <v>0</v>
      </c>
      <c r="M633" s="43"/>
      <c r="N633" s="53">
        <v>0</v>
      </c>
      <c r="O633" s="53">
        <v>0</v>
      </c>
      <c r="P633" s="53">
        <v>0</v>
      </c>
      <c r="Q633" s="53">
        <v>212303.05</v>
      </c>
    </row>
    <row r="634" spans="1:17" ht="26.45">
      <c r="A634" s="44">
        <v>2024</v>
      </c>
      <c r="B634" s="46" t="s">
        <v>1411</v>
      </c>
      <c r="C634" s="46" t="s">
        <v>8972</v>
      </c>
      <c r="D634" s="44" t="s">
        <v>488</v>
      </c>
      <c r="E634" s="45" t="s">
        <v>1305</v>
      </c>
      <c r="F634" s="54">
        <v>256787.26</v>
      </c>
      <c r="G634" s="54">
        <v>0</v>
      </c>
      <c r="H634" s="54">
        <v>0</v>
      </c>
      <c r="I634" s="54">
        <v>0</v>
      </c>
      <c r="J634" s="54">
        <v>0</v>
      </c>
      <c r="K634" s="54">
        <v>0</v>
      </c>
      <c r="L634" s="54">
        <v>0</v>
      </c>
      <c r="M634" s="43"/>
      <c r="N634" s="54">
        <v>0</v>
      </c>
      <c r="O634" s="54">
        <v>0</v>
      </c>
      <c r="P634" s="54">
        <v>0</v>
      </c>
      <c r="Q634" s="54">
        <v>256787.26</v>
      </c>
    </row>
    <row r="635" spans="1:17" ht="26.45">
      <c r="A635" s="47">
        <v>2024</v>
      </c>
      <c r="B635" s="50" t="s">
        <v>1411</v>
      </c>
      <c r="C635" s="50" t="s">
        <v>8972</v>
      </c>
      <c r="D635" s="47" t="s">
        <v>489</v>
      </c>
      <c r="E635" s="48" t="s">
        <v>1306</v>
      </c>
      <c r="F635" s="53">
        <v>482689.17</v>
      </c>
      <c r="G635" s="53">
        <v>94323.69</v>
      </c>
      <c r="H635" s="53">
        <v>0</v>
      </c>
      <c r="I635" s="53">
        <v>0</v>
      </c>
      <c r="J635" s="53">
        <v>0</v>
      </c>
      <c r="K635" s="53">
        <v>0</v>
      </c>
      <c r="L635" s="53">
        <v>0</v>
      </c>
      <c r="M635" s="43"/>
      <c r="N635" s="53">
        <v>0</v>
      </c>
      <c r="O635" s="53">
        <v>0</v>
      </c>
      <c r="P635" s="53">
        <v>0</v>
      </c>
      <c r="Q635" s="53">
        <v>577012.86</v>
      </c>
    </row>
    <row r="636" spans="1:17" ht="26.45">
      <c r="A636" s="44">
        <v>2024</v>
      </c>
      <c r="B636" s="46" t="s">
        <v>1411</v>
      </c>
      <c r="C636" s="46" t="s">
        <v>8972</v>
      </c>
      <c r="D636" s="44" t="s">
        <v>490</v>
      </c>
      <c r="E636" s="45" t="s">
        <v>1307</v>
      </c>
      <c r="F636" s="54">
        <v>493188.27</v>
      </c>
      <c r="G636" s="54">
        <v>80362.210000000006</v>
      </c>
      <c r="H636" s="54">
        <v>0</v>
      </c>
      <c r="I636" s="54">
        <v>0</v>
      </c>
      <c r="J636" s="54">
        <v>0</v>
      </c>
      <c r="K636" s="54">
        <v>0</v>
      </c>
      <c r="L636" s="54">
        <v>0</v>
      </c>
      <c r="M636" s="43"/>
      <c r="N636" s="54">
        <v>0</v>
      </c>
      <c r="O636" s="54">
        <v>0</v>
      </c>
      <c r="P636" s="54">
        <v>0</v>
      </c>
      <c r="Q636" s="54">
        <v>573550.48</v>
      </c>
    </row>
    <row r="637" spans="1:17" ht="26.45">
      <c r="A637" s="47">
        <v>2024</v>
      </c>
      <c r="B637" s="50" t="s">
        <v>1411</v>
      </c>
      <c r="C637" s="50" t="s">
        <v>8972</v>
      </c>
      <c r="D637" s="47" t="s">
        <v>491</v>
      </c>
      <c r="E637" s="48" t="s">
        <v>1308</v>
      </c>
      <c r="F637" s="53">
        <v>9115.73</v>
      </c>
      <c r="G637" s="53">
        <v>2865.88</v>
      </c>
      <c r="H637" s="53">
        <v>0</v>
      </c>
      <c r="I637" s="53">
        <v>0</v>
      </c>
      <c r="J637" s="53">
        <v>0</v>
      </c>
      <c r="K637" s="53">
        <v>0</v>
      </c>
      <c r="L637" s="53">
        <v>0</v>
      </c>
      <c r="M637" s="43"/>
      <c r="N637" s="53">
        <v>0</v>
      </c>
      <c r="O637" s="53">
        <v>0</v>
      </c>
      <c r="P637" s="53">
        <v>0</v>
      </c>
      <c r="Q637" s="53">
        <v>11981.61</v>
      </c>
    </row>
    <row r="638" spans="1:17" ht="39.6">
      <c r="A638" s="44">
        <v>2024</v>
      </c>
      <c r="B638" s="46" t="s">
        <v>1411</v>
      </c>
      <c r="C638" s="46" t="s">
        <v>8972</v>
      </c>
      <c r="D638" s="44" t="s">
        <v>1309</v>
      </c>
      <c r="E638" s="45" t="s">
        <v>1310</v>
      </c>
      <c r="F638" s="54">
        <v>11031.98</v>
      </c>
      <c r="G638" s="54">
        <v>0</v>
      </c>
      <c r="H638" s="54">
        <v>0</v>
      </c>
      <c r="I638" s="54">
        <v>0</v>
      </c>
      <c r="J638" s="54">
        <v>0</v>
      </c>
      <c r="K638" s="54">
        <v>0</v>
      </c>
      <c r="L638" s="54">
        <v>0</v>
      </c>
      <c r="M638" s="43"/>
      <c r="N638" s="54">
        <v>0</v>
      </c>
      <c r="O638" s="54">
        <v>0</v>
      </c>
      <c r="P638" s="54">
        <v>0</v>
      </c>
      <c r="Q638" s="54">
        <v>11031.98</v>
      </c>
    </row>
    <row r="639" spans="1:17" ht="26.45">
      <c r="A639" s="47">
        <v>2024</v>
      </c>
      <c r="B639" s="50" t="s">
        <v>1411</v>
      </c>
      <c r="C639" s="50" t="s">
        <v>8972</v>
      </c>
      <c r="D639" s="47" t="s">
        <v>1311</v>
      </c>
      <c r="E639" s="48" t="s">
        <v>1312</v>
      </c>
      <c r="F639" s="53">
        <v>9271.27</v>
      </c>
      <c r="G639" s="53">
        <v>0</v>
      </c>
      <c r="H639" s="53">
        <v>0</v>
      </c>
      <c r="I639" s="53">
        <v>0</v>
      </c>
      <c r="J639" s="53">
        <v>0</v>
      </c>
      <c r="K639" s="53">
        <v>0</v>
      </c>
      <c r="L639" s="53">
        <v>0</v>
      </c>
      <c r="M639" s="43"/>
      <c r="N639" s="53">
        <v>0</v>
      </c>
      <c r="O639" s="53">
        <v>0</v>
      </c>
      <c r="P639" s="53">
        <v>0</v>
      </c>
      <c r="Q639" s="53">
        <v>9271.27</v>
      </c>
    </row>
    <row r="640" spans="1:17" ht="26.45">
      <c r="A640" s="44">
        <v>2024</v>
      </c>
      <c r="B640" s="46" t="s">
        <v>1411</v>
      </c>
      <c r="C640" s="46" t="s">
        <v>8972</v>
      </c>
      <c r="D640" s="44" t="s">
        <v>1313</v>
      </c>
      <c r="E640" s="45" t="s">
        <v>1314</v>
      </c>
      <c r="F640" s="54">
        <v>1389.01</v>
      </c>
      <c r="G640" s="54">
        <v>0</v>
      </c>
      <c r="H640" s="54">
        <v>0</v>
      </c>
      <c r="I640" s="54">
        <v>0</v>
      </c>
      <c r="J640" s="54">
        <v>0</v>
      </c>
      <c r="K640" s="54">
        <v>0</v>
      </c>
      <c r="L640" s="54">
        <v>0</v>
      </c>
      <c r="M640" s="43"/>
      <c r="N640" s="54">
        <v>0</v>
      </c>
      <c r="O640" s="54">
        <v>0</v>
      </c>
      <c r="P640" s="54">
        <v>0</v>
      </c>
      <c r="Q640" s="54">
        <v>1389.01</v>
      </c>
    </row>
    <row r="641" spans="1:17" ht="26.45">
      <c r="A641" s="47">
        <v>2024</v>
      </c>
      <c r="B641" s="50" t="s">
        <v>1411</v>
      </c>
      <c r="C641" s="50" t="s">
        <v>8972</v>
      </c>
      <c r="D641" s="47" t="s">
        <v>492</v>
      </c>
      <c r="E641" s="48" t="s">
        <v>1315</v>
      </c>
      <c r="F641" s="53">
        <v>15385.89</v>
      </c>
      <c r="G641" s="53">
        <v>0</v>
      </c>
      <c r="H641" s="53">
        <v>0</v>
      </c>
      <c r="I641" s="53">
        <v>0</v>
      </c>
      <c r="J641" s="53">
        <v>0</v>
      </c>
      <c r="K641" s="53">
        <v>0</v>
      </c>
      <c r="L641" s="53">
        <v>0</v>
      </c>
      <c r="M641" s="43"/>
      <c r="N641" s="53">
        <v>0</v>
      </c>
      <c r="O641" s="53">
        <v>0</v>
      </c>
      <c r="P641" s="53">
        <v>0</v>
      </c>
      <c r="Q641" s="53">
        <v>15385.89</v>
      </c>
    </row>
    <row r="642" spans="1:17" ht="39.6">
      <c r="A642" s="44">
        <v>2024</v>
      </c>
      <c r="B642" s="46" t="s">
        <v>1411</v>
      </c>
      <c r="C642" s="46" t="s">
        <v>8972</v>
      </c>
      <c r="D642" s="44" t="s">
        <v>493</v>
      </c>
      <c r="E642" s="45" t="s">
        <v>1316</v>
      </c>
      <c r="F642" s="54">
        <v>80026.649999999994</v>
      </c>
      <c r="G642" s="54">
        <v>0</v>
      </c>
      <c r="H642" s="54">
        <v>0</v>
      </c>
      <c r="I642" s="54">
        <v>0</v>
      </c>
      <c r="J642" s="54">
        <v>0</v>
      </c>
      <c r="K642" s="54">
        <v>0</v>
      </c>
      <c r="L642" s="54">
        <v>0</v>
      </c>
      <c r="M642" s="43"/>
      <c r="N642" s="54">
        <v>0</v>
      </c>
      <c r="O642" s="54">
        <v>0</v>
      </c>
      <c r="P642" s="54">
        <v>0</v>
      </c>
      <c r="Q642" s="54">
        <v>80026.649999999994</v>
      </c>
    </row>
    <row r="643" spans="1:17" ht="26.45">
      <c r="A643" s="47">
        <v>2024</v>
      </c>
      <c r="B643" s="50" t="s">
        <v>1411</v>
      </c>
      <c r="C643" s="50" t="s">
        <v>8972</v>
      </c>
      <c r="D643" s="47" t="s">
        <v>494</v>
      </c>
      <c r="E643" s="48" t="s">
        <v>1317</v>
      </c>
      <c r="F643" s="53">
        <v>10972.18</v>
      </c>
      <c r="G643" s="53">
        <v>0</v>
      </c>
      <c r="H643" s="53">
        <v>0</v>
      </c>
      <c r="I643" s="53">
        <v>0</v>
      </c>
      <c r="J643" s="53">
        <v>0</v>
      </c>
      <c r="K643" s="53">
        <v>0</v>
      </c>
      <c r="L643" s="53">
        <v>0</v>
      </c>
      <c r="M643" s="43"/>
      <c r="N643" s="53">
        <v>0</v>
      </c>
      <c r="O643" s="53">
        <v>0</v>
      </c>
      <c r="P643" s="53">
        <v>0</v>
      </c>
      <c r="Q643" s="53">
        <v>10972.18</v>
      </c>
    </row>
    <row r="644" spans="1:17" ht="26.45">
      <c r="A644" s="44">
        <v>2024</v>
      </c>
      <c r="B644" s="46" t="s">
        <v>1411</v>
      </c>
      <c r="C644" s="46" t="s">
        <v>8972</v>
      </c>
      <c r="D644" s="44" t="s">
        <v>1318</v>
      </c>
      <c r="E644" s="45" t="s">
        <v>1319</v>
      </c>
      <c r="F644" s="54">
        <v>5676.41</v>
      </c>
      <c r="G644" s="54">
        <v>0</v>
      </c>
      <c r="H644" s="54">
        <v>0</v>
      </c>
      <c r="I644" s="54">
        <v>0</v>
      </c>
      <c r="J644" s="54">
        <v>0</v>
      </c>
      <c r="K644" s="54">
        <v>0</v>
      </c>
      <c r="L644" s="54">
        <v>0</v>
      </c>
      <c r="M644" s="43"/>
      <c r="N644" s="54">
        <v>0</v>
      </c>
      <c r="O644" s="54">
        <v>0</v>
      </c>
      <c r="P644" s="54">
        <v>0</v>
      </c>
      <c r="Q644" s="54">
        <v>5676.41</v>
      </c>
    </row>
    <row r="645" spans="1:17" ht="26.45">
      <c r="A645" s="47">
        <v>2024</v>
      </c>
      <c r="B645" s="50" t="s">
        <v>1411</v>
      </c>
      <c r="C645" s="50" t="s">
        <v>8972</v>
      </c>
      <c r="D645" s="47" t="s">
        <v>1320</v>
      </c>
      <c r="E645" s="48" t="s">
        <v>1321</v>
      </c>
      <c r="F645" s="53">
        <v>4959.03</v>
      </c>
      <c r="G645" s="53">
        <v>0</v>
      </c>
      <c r="H645" s="53">
        <v>0</v>
      </c>
      <c r="I645" s="53">
        <v>0</v>
      </c>
      <c r="J645" s="53">
        <v>0</v>
      </c>
      <c r="K645" s="53">
        <v>0</v>
      </c>
      <c r="L645" s="53">
        <v>-4959.03</v>
      </c>
      <c r="M645" s="43"/>
      <c r="N645" s="53">
        <v>0</v>
      </c>
      <c r="O645" s="53">
        <v>0</v>
      </c>
      <c r="P645" s="53">
        <v>0</v>
      </c>
      <c r="Q645" s="53">
        <v>0</v>
      </c>
    </row>
    <row r="646" spans="1:17" ht="26.45">
      <c r="A646" s="44">
        <v>2024</v>
      </c>
      <c r="B646" s="46" t="s">
        <v>1411</v>
      </c>
      <c r="C646" s="46" t="s">
        <v>8972</v>
      </c>
      <c r="D646" s="44" t="s">
        <v>495</v>
      </c>
      <c r="E646" s="45" t="s">
        <v>1322</v>
      </c>
      <c r="F646" s="54">
        <v>2099665.7400000002</v>
      </c>
      <c r="G646" s="54">
        <v>260735.35</v>
      </c>
      <c r="H646" s="54">
        <v>0</v>
      </c>
      <c r="I646" s="54">
        <v>0</v>
      </c>
      <c r="J646" s="54">
        <v>0</v>
      </c>
      <c r="K646" s="54">
        <v>0</v>
      </c>
      <c r="L646" s="54">
        <v>0</v>
      </c>
      <c r="M646" s="43"/>
      <c r="N646" s="54">
        <v>0</v>
      </c>
      <c r="O646" s="54">
        <v>0</v>
      </c>
      <c r="P646" s="54">
        <v>0</v>
      </c>
      <c r="Q646" s="54">
        <v>2360401.09</v>
      </c>
    </row>
    <row r="647" spans="1:17" ht="26.45">
      <c r="A647" s="47">
        <v>2024</v>
      </c>
      <c r="B647" s="50" t="s">
        <v>1411</v>
      </c>
      <c r="C647" s="50" t="s">
        <v>8972</v>
      </c>
      <c r="D647" s="47" t="s">
        <v>1323</v>
      </c>
      <c r="E647" s="48" t="s">
        <v>1324</v>
      </c>
      <c r="F647" s="53">
        <v>25367.84</v>
      </c>
      <c r="G647" s="53">
        <v>15424.46</v>
      </c>
      <c r="H647" s="53">
        <v>0</v>
      </c>
      <c r="I647" s="53">
        <v>0</v>
      </c>
      <c r="J647" s="53">
        <v>0</v>
      </c>
      <c r="K647" s="53">
        <v>0</v>
      </c>
      <c r="L647" s="53">
        <v>0</v>
      </c>
      <c r="M647" s="43"/>
      <c r="N647" s="53">
        <v>0</v>
      </c>
      <c r="O647" s="53">
        <v>0</v>
      </c>
      <c r="P647" s="53">
        <v>0</v>
      </c>
      <c r="Q647" s="53">
        <v>40792.300000000003</v>
      </c>
    </row>
    <row r="648" spans="1:17" ht="26.45">
      <c r="A648" s="44">
        <v>2024</v>
      </c>
      <c r="B648" s="46" t="s">
        <v>1411</v>
      </c>
      <c r="C648" s="46" t="s">
        <v>8972</v>
      </c>
      <c r="D648" s="44" t="s">
        <v>1325</v>
      </c>
      <c r="E648" s="45" t="s">
        <v>1326</v>
      </c>
      <c r="F648" s="54">
        <v>2334386.9900000002</v>
      </c>
      <c r="G648" s="54">
        <v>318263.19</v>
      </c>
      <c r="H648" s="54">
        <v>0</v>
      </c>
      <c r="I648" s="54">
        <v>0</v>
      </c>
      <c r="J648" s="54">
        <v>0</v>
      </c>
      <c r="K648" s="54">
        <v>0</v>
      </c>
      <c r="L648" s="54">
        <v>0</v>
      </c>
      <c r="M648" s="43"/>
      <c r="N648" s="54">
        <v>0</v>
      </c>
      <c r="O648" s="54">
        <v>0</v>
      </c>
      <c r="P648" s="54">
        <v>0</v>
      </c>
      <c r="Q648" s="54">
        <v>2652650.1800000002</v>
      </c>
    </row>
  </sheetData>
  <autoFilter ref="A6:Q648" xr:uid="{00000000-0009-0000-0000-000004000000}"/>
  <pageMargins left="1" right="1" top="1" bottom="1.53125" header="1" footer="1"/>
  <pageSetup orientation="landscape" horizontalDpi="300" verticalDpi="300"/>
  <headerFooter alignWithMargins="0">
    <oddFooter>&amp;L&amp;"Arial,Regular"&amp;10 3/8/2024 9:45:38 PM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1"/>
  <sheetViews>
    <sheetView showGridLines="0" topLeftCell="C1" workbookViewId="0"/>
  </sheetViews>
  <sheetFormatPr defaultColWidth="8.85546875" defaultRowHeight="14.45"/>
  <cols>
    <col min="1" max="1" width="13.7109375" style="38" customWidth="1"/>
    <col min="2" max="2" width="25.7109375" style="38" customWidth="1"/>
    <col min="3" max="3" width="13.7109375" style="38" customWidth="1"/>
    <col min="4" max="4" width="28.7109375" style="38" customWidth="1"/>
    <col min="5" max="5" width="22.140625" style="38" customWidth="1"/>
    <col min="6" max="6" width="21.85546875" style="38" customWidth="1"/>
    <col min="7" max="7" width="27.42578125" style="38" customWidth="1"/>
    <col min="8" max="8" width="20.5703125" style="38" customWidth="1"/>
    <col min="9" max="9" width="25.5703125" style="38" customWidth="1"/>
    <col min="10" max="10" width="33" style="38" customWidth="1"/>
    <col min="11" max="11" width="21.42578125" style="38" customWidth="1"/>
    <col min="12" max="12" width="26.140625" style="38" customWidth="1"/>
    <col min="13" max="16384" width="8.85546875" style="38"/>
  </cols>
  <sheetData>
    <row r="1" spans="1:12" ht="28.9" customHeight="1">
      <c r="A1" s="58" t="s">
        <v>8973</v>
      </c>
      <c r="B1" s="58"/>
      <c r="C1" s="58"/>
      <c r="D1" s="58"/>
      <c r="E1" s="58"/>
      <c r="F1" s="58"/>
      <c r="G1" s="58"/>
      <c r="H1" s="58"/>
      <c r="I1" s="58"/>
      <c r="J1" s="58"/>
      <c r="K1" s="58"/>
      <c r="L1" s="58"/>
    </row>
    <row r="2" spans="1:12" ht="52.9">
      <c r="A2" s="40" t="s">
        <v>8956</v>
      </c>
      <c r="B2" s="40" t="s">
        <v>1346</v>
      </c>
      <c r="C2" s="40" t="s">
        <v>1441</v>
      </c>
      <c r="D2" s="42" t="s">
        <v>1402</v>
      </c>
      <c r="E2" s="40" t="s">
        <v>1405</v>
      </c>
      <c r="F2" s="40" t="s">
        <v>8974</v>
      </c>
      <c r="G2" s="40" t="s">
        <v>8975</v>
      </c>
      <c r="H2" s="40" t="s">
        <v>8976</v>
      </c>
      <c r="I2" s="52" t="s">
        <v>8977</v>
      </c>
      <c r="J2" s="52" t="s">
        <v>8978</v>
      </c>
      <c r="K2" s="52" t="s">
        <v>8979</v>
      </c>
      <c r="L2" s="52" t="s">
        <v>8980</v>
      </c>
    </row>
    <row r="3" spans="1:12" ht="26.45">
      <c r="A3" s="44">
        <v>2024</v>
      </c>
      <c r="B3" s="44" t="s">
        <v>542</v>
      </c>
      <c r="C3" s="44" t="s">
        <v>1686</v>
      </c>
      <c r="D3" s="46" t="s">
        <v>543</v>
      </c>
      <c r="E3" s="44" t="s">
        <v>8981</v>
      </c>
      <c r="F3" s="51">
        <v>45014.7576799421</v>
      </c>
      <c r="G3" s="44" t="s">
        <v>8982</v>
      </c>
      <c r="H3" s="44">
        <v>0</v>
      </c>
      <c r="I3" s="56">
        <v>30.126559066994801</v>
      </c>
      <c r="J3" s="56">
        <v>18</v>
      </c>
      <c r="K3" s="56">
        <v>4.8099999999999996</v>
      </c>
      <c r="L3" s="56">
        <v>4.8099999999999996</v>
      </c>
    </row>
    <row r="4" spans="1:12" ht="26.45">
      <c r="A4" s="47">
        <v>2024</v>
      </c>
      <c r="B4" s="47" t="s">
        <v>61</v>
      </c>
      <c r="C4" s="47" t="s">
        <v>1836</v>
      </c>
      <c r="D4" s="50" t="s">
        <v>555</v>
      </c>
      <c r="E4" s="47" t="s">
        <v>8981</v>
      </c>
      <c r="F4" s="49">
        <v>45002.730021145799</v>
      </c>
      <c r="G4" s="47" t="s">
        <v>8983</v>
      </c>
      <c r="H4" s="47">
        <v>11</v>
      </c>
      <c r="I4" s="57">
        <v>37.422415949669897</v>
      </c>
      <c r="J4" s="57">
        <v>18</v>
      </c>
      <c r="K4" s="57">
        <v>6.84</v>
      </c>
      <c r="L4" s="57">
        <v>6.84</v>
      </c>
    </row>
    <row r="5" spans="1:12" ht="26.45">
      <c r="A5" s="44">
        <v>2024</v>
      </c>
      <c r="B5" s="44" t="s">
        <v>63</v>
      </c>
      <c r="C5" s="44" t="s">
        <v>1978</v>
      </c>
      <c r="D5" s="46" t="s">
        <v>579</v>
      </c>
      <c r="E5" s="44" t="s">
        <v>8981</v>
      </c>
      <c r="F5" s="51">
        <v>45014.709937071799</v>
      </c>
      <c r="G5" s="44" t="s">
        <v>8983</v>
      </c>
      <c r="H5" s="44">
        <v>8</v>
      </c>
      <c r="I5" s="56">
        <v>31.1897864154455</v>
      </c>
      <c r="J5" s="56">
        <v>18</v>
      </c>
      <c r="K5" s="56">
        <v>3.69</v>
      </c>
      <c r="L5" s="56">
        <v>3.69</v>
      </c>
    </row>
    <row r="6" spans="1:12" ht="26.45">
      <c r="A6" s="47">
        <v>2024</v>
      </c>
      <c r="B6" s="47" t="s">
        <v>526</v>
      </c>
      <c r="C6" s="47" t="s">
        <v>1527</v>
      </c>
      <c r="D6" s="50" t="s">
        <v>527</v>
      </c>
      <c r="E6" s="47" t="s">
        <v>8981</v>
      </c>
      <c r="F6" s="49">
        <v>45057.652844791701</v>
      </c>
      <c r="G6" s="47" t="s">
        <v>8984</v>
      </c>
      <c r="H6" s="47">
        <v>1</v>
      </c>
      <c r="I6" s="57">
        <v>0</v>
      </c>
      <c r="J6" s="57">
        <v>0</v>
      </c>
      <c r="K6" s="57">
        <v>0</v>
      </c>
      <c r="L6" s="57">
        <v>0</v>
      </c>
    </row>
    <row r="7" spans="1:12" ht="26.45">
      <c r="A7" s="44">
        <v>2024</v>
      </c>
      <c r="B7" s="44" t="s">
        <v>54</v>
      </c>
      <c r="C7" s="44" t="s">
        <v>1643</v>
      </c>
      <c r="D7" s="46" t="s">
        <v>540</v>
      </c>
      <c r="E7" s="44" t="s">
        <v>8981</v>
      </c>
      <c r="F7" s="51">
        <v>45063.773657372702</v>
      </c>
      <c r="G7" s="44" t="s">
        <v>8982</v>
      </c>
      <c r="H7" s="44">
        <v>1</v>
      </c>
      <c r="I7" s="56">
        <v>18.4957173008582</v>
      </c>
      <c r="J7" s="56">
        <v>18</v>
      </c>
      <c r="K7" s="56">
        <v>12</v>
      </c>
      <c r="L7" s="56">
        <v>8</v>
      </c>
    </row>
    <row r="8" spans="1:12" ht="26.45">
      <c r="A8" s="47">
        <v>2024</v>
      </c>
      <c r="B8" s="47" t="s">
        <v>545</v>
      </c>
      <c r="C8" s="47" t="s">
        <v>1715</v>
      </c>
      <c r="D8" s="50" t="s">
        <v>546</v>
      </c>
      <c r="E8" s="47" t="s">
        <v>8981</v>
      </c>
      <c r="F8" s="49">
        <v>45138.899258645797</v>
      </c>
      <c r="G8" s="47" t="s">
        <v>8985</v>
      </c>
      <c r="H8" s="47">
        <v>10</v>
      </c>
      <c r="I8" s="57">
        <v>42.578677224152798</v>
      </c>
      <c r="J8" s="57">
        <v>18</v>
      </c>
      <c r="K8" s="57">
        <v>9.08</v>
      </c>
      <c r="L8" s="57">
        <v>8</v>
      </c>
    </row>
    <row r="9" spans="1:12" ht="26.45">
      <c r="A9" s="44">
        <v>2024</v>
      </c>
      <c r="B9" s="44" t="s">
        <v>547</v>
      </c>
      <c r="C9" s="44" t="s">
        <v>1723</v>
      </c>
      <c r="D9" s="46" t="s">
        <v>548</v>
      </c>
      <c r="E9" s="44" t="s">
        <v>8981</v>
      </c>
      <c r="F9" s="51">
        <v>45138.898786886602</v>
      </c>
      <c r="G9" s="44" t="s">
        <v>8985</v>
      </c>
      <c r="H9" s="44">
        <v>10</v>
      </c>
      <c r="I9" s="56">
        <v>42.578677224152798</v>
      </c>
      <c r="J9" s="56">
        <v>18</v>
      </c>
      <c r="K9" s="56">
        <v>12</v>
      </c>
      <c r="L9" s="56">
        <v>8</v>
      </c>
    </row>
    <row r="10" spans="1:12" ht="26.45">
      <c r="A10" s="47">
        <v>2024</v>
      </c>
      <c r="B10" s="47" t="s">
        <v>57</v>
      </c>
      <c r="C10" s="47" t="s">
        <v>1745</v>
      </c>
      <c r="D10" s="50" t="s">
        <v>549</v>
      </c>
      <c r="E10" s="47" t="s">
        <v>8981</v>
      </c>
      <c r="F10" s="49">
        <v>45002.732743321802</v>
      </c>
      <c r="G10" s="47" t="s">
        <v>8983</v>
      </c>
      <c r="H10" s="47">
        <v>0</v>
      </c>
      <c r="I10" s="57">
        <v>50.134138576130603</v>
      </c>
      <c r="J10" s="57">
        <v>18</v>
      </c>
      <c r="K10" s="57">
        <v>8.16</v>
      </c>
      <c r="L10" s="57">
        <v>8</v>
      </c>
    </row>
    <row r="11" spans="1:12" ht="26.45">
      <c r="A11" s="44">
        <v>2024</v>
      </c>
      <c r="B11" s="44" t="s">
        <v>59</v>
      </c>
      <c r="C11" s="44" t="s">
        <v>1795</v>
      </c>
      <c r="D11" s="46" t="s">
        <v>553</v>
      </c>
      <c r="E11" s="44" t="s">
        <v>8981</v>
      </c>
      <c r="F11" s="51">
        <v>45034.738716354201</v>
      </c>
      <c r="G11" s="44" t="s">
        <v>8982</v>
      </c>
      <c r="H11" s="44">
        <v>27</v>
      </c>
      <c r="I11" s="56">
        <v>20.1979625531783</v>
      </c>
      <c r="J11" s="56">
        <v>18</v>
      </c>
      <c r="K11" s="56">
        <v>2.96</v>
      </c>
      <c r="L11" s="56">
        <v>2.96</v>
      </c>
    </row>
    <row r="12" spans="1:12" ht="39.6">
      <c r="A12" s="47">
        <v>2024</v>
      </c>
      <c r="B12" s="47" t="s">
        <v>556</v>
      </c>
      <c r="C12" s="47" t="s">
        <v>1865</v>
      </c>
      <c r="D12" s="50" t="s">
        <v>557</v>
      </c>
      <c r="E12" s="47" t="s">
        <v>8981</v>
      </c>
      <c r="F12" s="49">
        <v>45020.915568368102</v>
      </c>
      <c r="G12" s="47" t="s">
        <v>8983</v>
      </c>
      <c r="H12" s="47">
        <v>5</v>
      </c>
      <c r="I12" s="57">
        <v>54.342735916329097</v>
      </c>
      <c r="J12" s="57">
        <v>18</v>
      </c>
      <c r="K12" s="57">
        <v>12</v>
      </c>
      <c r="L12" s="57">
        <v>8</v>
      </c>
    </row>
    <row r="13" spans="1:12" ht="39.6">
      <c r="A13" s="44">
        <v>2024</v>
      </c>
      <c r="B13" s="44" t="s">
        <v>558</v>
      </c>
      <c r="C13" s="44" t="s">
        <v>1872</v>
      </c>
      <c r="D13" s="46" t="s">
        <v>559</v>
      </c>
      <c r="E13" s="44" t="s">
        <v>8981</v>
      </c>
      <c r="F13" s="51">
        <v>45042.902286111101</v>
      </c>
      <c r="G13" s="44" t="s">
        <v>8984</v>
      </c>
      <c r="H13" s="44">
        <v>8</v>
      </c>
      <c r="I13" s="56">
        <v>52.809675110246801</v>
      </c>
      <c r="J13" s="56">
        <v>18</v>
      </c>
      <c r="K13" s="56">
        <v>12</v>
      </c>
      <c r="L13" s="56">
        <v>8</v>
      </c>
    </row>
    <row r="14" spans="1:12" ht="39.6">
      <c r="A14" s="47">
        <v>2024</v>
      </c>
      <c r="B14" s="47" t="s">
        <v>560</v>
      </c>
      <c r="C14" s="47" t="s">
        <v>1878</v>
      </c>
      <c r="D14" s="50" t="s">
        <v>561</v>
      </c>
      <c r="E14" s="47" t="s">
        <v>8981</v>
      </c>
      <c r="F14" s="49">
        <v>45027.785233912</v>
      </c>
      <c r="G14" s="47" t="s">
        <v>8982</v>
      </c>
      <c r="H14" s="47">
        <v>5</v>
      </c>
      <c r="I14" s="57">
        <v>52.656724668666698</v>
      </c>
      <c r="J14" s="57">
        <v>18</v>
      </c>
      <c r="K14" s="57">
        <v>12</v>
      </c>
      <c r="L14" s="57">
        <v>8</v>
      </c>
    </row>
    <row r="15" spans="1:12" ht="39.6">
      <c r="A15" s="44">
        <v>2024</v>
      </c>
      <c r="B15" s="44" t="s">
        <v>562</v>
      </c>
      <c r="C15" s="44" t="s">
        <v>1885</v>
      </c>
      <c r="D15" s="46" t="s">
        <v>563</v>
      </c>
      <c r="E15" s="44" t="s">
        <v>8981</v>
      </c>
      <c r="F15" s="51">
        <v>45027.789614085603</v>
      </c>
      <c r="G15" s="44" t="s">
        <v>8982</v>
      </c>
      <c r="H15" s="44">
        <v>5</v>
      </c>
      <c r="I15" s="56">
        <v>37.220815278548102</v>
      </c>
      <c r="J15" s="56">
        <v>18</v>
      </c>
      <c r="K15" s="56">
        <v>12</v>
      </c>
      <c r="L15" s="56">
        <v>8</v>
      </c>
    </row>
    <row r="16" spans="1:12" ht="39.6">
      <c r="A16" s="47">
        <v>2024</v>
      </c>
      <c r="B16" s="47" t="s">
        <v>564</v>
      </c>
      <c r="C16" s="47" t="s">
        <v>1892</v>
      </c>
      <c r="D16" s="50" t="s">
        <v>565</v>
      </c>
      <c r="E16" s="47" t="s">
        <v>8981</v>
      </c>
      <c r="F16" s="49">
        <v>45027.791569988403</v>
      </c>
      <c r="G16" s="47" t="s">
        <v>8982</v>
      </c>
      <c r="H16" s="47">
        <v>5</v>
      </c>
      <c r="I16" s="57">
        <v>56.148158770739101</v>
      </c>
      <c r="J16" s="57">
        <v>18</v>
      </c>
      <c r="K16" s="57">
        <v>12</v>
      </c>
      <c r="L16" s="57">
        <v>8</v>
      </c>
    </row>
    <row r="17" spans="1:12" ht="39.6">
      <c r="A17" s="44">
        <v>2024</v>
      </c>
      <c r="B17" s="44" t="s">
        <v>566</v>
      </c>
      <c r="C17" s="44" t="s">
        <v>1898</v>
      </c>
      <c r="D17" s="46" t="s">
        <v>567</v>
      </c>
      <c r="E17" s="44" t="s">
        <v>8981</v>
      </c>
      <c r="F17" s="51">
        <v>45027.793133530096</v>
      </c>
      <c r="G17" s="44" t="s">
        <v>8982</v>
      </c>
      <c r="H17" s="44">
        <v>5</v>
      </c>
      <c r="I17" s="56">
        <v>45.8784719484036</v>
      </c>
      <c r="J17" s="56">
        <v>18</v>
      </c>
      <c r="K17" s="56">
        <v>12</v>
      </c>
      <c r="L17" s="56">
        <v>8</v>
      </c>
    </row>
    <row r="18" spans="1:12" ht="39.6">
      <c r="A18" s="47">
        <v>2024</v>
      </c>
      <c r="B18" s="47" t="s">
        <v>568</v>
      </c>
      <c r="C18" s="47" t="s">
        <v>1904</v>
      </c>
      <c r="D18" s="50" t="s">
        <v>569</v>
      </c>
      <c r="E18" s="47" t="s">
        <v>8981</v>
      </c>
      <c r="F18" s="49">
        <v>45027.794612303202</v>
      </c>
      <c r="G18" s="47" t="s">
        <v>8982</v>
      </c>
      <c r="H18" s="47">
        <v>5</v>
      </c>
      <c r="I18" s="57">
        <v>48.438209116129698</v>
      </c>
      <c r="J18" s="57">
        <v>18</v>
      </c>
      <c r="K18" s="57">
        <v>12</v>
      </c>
      <c r="L18" s="57">
        <v>8</v>
      </c>
    </row>
    <row r="19" spans="1:12" ht="39.6">
      <c r="A19" s="44">
        <v>2024</v>
      </c>
      <c r="B19" s="44" t="s">
        <v>570</v>
      </c>
      <c r="C19" s="44" t="s">
        <v>1910</v>
      </c>
      <c r="D19" s="46" t="s">
        <v>571</v>
      </c>
      <c r="E19" s="44" t="s">
        <v>8981</v>
      </c>
      <c r="F19" s="51">
        <v>45027.798241701399</v>
      </c>
      <c r="G19" s="44" t="s">
        <v>8982</v>
      </c>
      <c r="H19" s="44">
        <v>5</v>
      </c>
      <c r="I19" s="56">
        <v>50.179416251516599</v>
      </c>
      <c r="J19" s="56">
        <v>18</v>
      </c>
      <c r="K19" s="56">
        <v>12</v>
      </c>
      <c r="L19" s="56">
        <v>8</v>
      </c>
    </row>
    <row r="20" spans="1:12" ht="39.6">
      <c r="A20" s="47">
        <v>2024</v>
      </c>
      <c r="B20" s="47" t="s">
        <v>572</v>
      </c>
      <c r="C20" s="47" t="s">
        <v>1916</v>
      </c>
      <c r="D20" s="50" t="s">
        <v>573</v>
      </c>
      <c r="E20" s="47" t="s">
        <v>8981</v>
      </c>
      <c r="F20" s="49">
        <v>45027.812323263897</v>
      </c>
      <c r="G20" s="47" t="s">
        <v>8982</v>
      </c>
      <c r="H20" s="47">
        <v>5</v>
      </c>
      <c r="I20" s="57">
        <v>45.933110044199601</v>
      </c>
      <c r="J20" s="57">
        <v>18</v>
      </c>
      <c r="K20" s="57">
        <v>12</v>
      </c>
      <c r="L20" s="57">
        <v>8</v>
      </c>
    </row>
    <row r="21" spans="1:12" ht="39.6">
      <c r="A21" s="44">
        <v>2024</v>
      </c>
      <c r="B21" s="44" t="s">
        <v>574</v>
      </c>
      <c r="C21" s="44" t="s">
        <v>1923</v>
      </c>
      <c r="D21" s="46" t="s">
        <v>575</v>
      </c>
      <c r="E21" s="44" t="s">
        <v>8981</v>
      </c>
      <c r="F21" s="51">
        <v>45027.814386689803</v>
      </c>
      <c r="G21" s="44" t="s">
        <v>8982</v>
      </c>
      <c r="H21" s="44">
        <v>5</v>
      </c>
      <c r="I21" s="56">
        <v>54.491741390645402</v>
      </c>
      <c r="J21" s="56">
        <v>18</v>
      </c>
      <c r="K21" s="56">
        <v>12</v>
      </c>
      <c r="L21" s="56">
        <v>8</v>
      </c>
    </row>
    <row r="22" spans="1:12" ht="39.6">
      <c r="A22" s="47">
        <v>2024</v>
      </c>
      <c r="B22" s="47" t="s">
        <v>576</v>
      </c>
      <c r="C22" s="47" t="s">
        <v>1929</v>
      </c>
      <c r="D22" s="50" t="s">
        <v>577</v>
      </c>
      <c r="E22" s="47" t="s">
        <v>8981</v>
      </c>
      <c r="F22" s="49">
        <v>45027.796375891201</v>
      </c>
      <c r="G22" s="47" t="s">
        <v>8982</v>
      </c>
      <c r="H22" s="47">
        <v>5</v>
      </c>
      <c r="I22" s="57">
        <v>53.834361619987398</v>
      </c>
      <c r="J22" s="57">
        <v>18</v>
      </c>
      <c r="K22" s="57">
        <v>0</v>
      </c>
      <c r="L22" s="57">
        <v>0</v>
      </c>
    </row>
    <row r="23" spans="1:12" ht="26.45">
      <c r="A23" s="44">
        <v>2024</v>
      </c>
      <c r="B23" s="44" t="s">
        <v>64</v>
      </c>
      <c r="C23" s="44" t="s">
        <v>1995</v>
      </c>
      <c r="D23" s="46" t="s">
        <v>582</v>
      </c>
      <c r="E23" s="44" t="s">
        <v>8981</v>
      </c>
      <c r="F23" s="51">
        <v>45056.893134490703</v>
      </c>
      <c r="G23" s="44" t="s">
        <v>8982</v>
      </c>
      <c r="H23" s="44">
        <v>0</v>
      </c>
      <c r="I23" s="56">
        <v>48.373069356417702</v>
      </c>
      <c r="J23" s="56">
        <v>18</v>
      </c>
      <c r="K23" s="56">
        <v>12</v>
      </c>
      <c r="L23" s="56">
        <v>8</v>
      </c>
    </row>
    <row r="24" spans="1:12" ht="26.45">
      <c r="A24" s="47">
        <v>2024</v>
      </c>
      <c r="B24" s="47" t="s">
        <v>66</v>
      </c>
      <c r="C24" s="47" t="s">
        <v>2022</v>
      </c>
      <c r="D24" s="50" t="s">
        <v>586</v>
      </c>
      <c r="E24" s="47" t="s">
        <v>8981</v>
      </c>
      <c r="F24" s="49">
        <v>45043.743704629604</v>
      </c>
      <c r="G24" s="47" t="s">
        <v>8984</v>
      </c>
      <c r="H24" s="47">
        <v>22</v>
      </c>
      <c r="I24" s="57">
        <v>28.755722964929198</v>
      </c>
      <c r="J24" s="57">
        <v>18</v>
      </c>
      <c r="K24" s="57">
        <v>1.42</v>
      </c>
      <c r="L24" s="57">
        <v>1.42</v>
      </c>
    </row>
    <row r="25" spans="1:12" ht="26.45">
      <c r="A25" s="44">
        <v>2024</v>
      </c>
      <c r="B25" s="44" t="s">
        <v>67</v>
      </c>
      <c r="C25" s="44" t="s">
        <v>2029</v>
      </c>
      <c r="D25" s="46" t="s">
        <v>587</v>
      </c>
      <c r="E25" s="44" t="s">
        <v>8981</v>
      </c>
      <c r="F25" s="51">
        <v>45047.892603090302</v>
      </c>
      <c r="G25" s="44" t="s">
        <v>8983</v>
      </c>
      <c r="H25" s="44">
        <v>6</v>
      </c>
      <c r="I25" s="56">
        <v>36.172250634755798</v>
      </c>
      <c r="J25" s="56">
        <v>18</v>
      </c>
      <c r="K25" s="56">
        <v>12</v>
      </c>
      <c r="L25" s="56">
        <v>8</v>
      </c>
    </row>
    <row r="26" spans="1:12" ht="26.45">
      <c r="A26" s="47">
        <v>2024</v>
      </c>
      <c r="B26" s="47" t="s">
        <v>69</v>
      </c>
      <c r="C26" s="47" t="s">
        <v>2046</v>
      </c>
      <c r="D26" s="50" t="s">
        <v>589</v>
      </c>
      <c r="E26" s="47" t="s">
        <v>8981</v>
      </c>
      <c r="F26" s="49">
        <v>45056.897850497699</v>
      </c>
      <c r="G26" s="47" t="s">
        <v>8982</v>
      </c>
      <c r="H26" s="47">
        <v>0</v>
      </c>
      <c r="I26" s="57">
        <v>59.8868106215631</v>
      </c>
      <c r="J26" s="57">
        <v>18</v>
      </c>
      <c r="K26" s="57">
        <v>12</v>
      </c>
      <c r="L26" s="57">
        <v>8</v>
      </c>
    </row>
    <row r="27" spans="1:12" ht="26.45">
      <c r="A27" s="44">
        <v>2024</v>
      </c>
      <c r="B27" s="44" t="s">
        <v>70</v>
      </c>
      <c r="C27" s="44" t="s">
        <v>2052</v>
      </c>
      <c r="D27" s="46" t="s">
        <v>590</v>
      </c>
      <c r="E27" s="44" t="s">
        <v>8981</v>
      </c>
      <c r="F27" s="51">
        <v>45056.8996225347</v>
      </c>
      <c r="G27" s="44" t="s">
        <v>8982</v>
      </c>
      <c r="H27" s="44">
        <v>0</v>
      </c>
      <c r="I27" s="56">
        <v>58.493380423041501</v>
      </c>
      <c r="J27" s="56">
        <v>18</v>
      </c>
      <c r="K27" s="56">
        <v>12</v>
      </c>
      <c r="L27" s="56">
        <v>8</v>
      </c>
    </row>
    <row r="28" spans="1:12" ht="26.45">
      <c r="A28" s="47">
        <v>2024</v>
      </c>
      <c r="B28" s="47" t="s">
        <v>71</v>
      </c>
      <c r="C28" s="47" t="s">
        <v>2058</v>
      </c>
      <c r="D28" s="50" t="s">
        <v>591</v>
      </c>
      <c r="E28" s="47" t="s">
        <v>8981</v>
      </c>
      <c r="F28" s="49">
        <v>45056.901609108798</v>
      </c>
      <c r="G28" s="47" t="s">
        <v>8982</v>
      </c>
      <c r="H28" s="47">
        <v>0</v>
      </c>
      <c r="I28" s="57">
        <v>63.058924962320397</v>
      </c>
      <c r="J28" s="57">
        <v>18</v>
      </c>
      <c r="K28" s="57">
        <v>12</v>
      </c>
      <c r="L28" s="57">
        <v>8</v>
      </c>
    </row>
    <row r="29" spans="1:12" ht="26.45">
      <c r="A29" s="44">
        <v>2024</v>
      </c>
      <c r="B29" s="44" t="s">
        <v>72</v>
      </c>
      <c r="C29" s="44" t="s">
        <v>2065</v>
      </c>
      <c r="D29" s="46" t="s">
        <v>592</v>
      </c>
      <c r="E29" s="44" t="s">
        <v>8981</v>
      </c>
      <c r="F29" s="51">
        <v>45056.902939004598</v>
      </c>
      <c r="G29" s="44" t="s">
        <v>8982</v>
      </c>
      <c r="H29" s="44">
        <v>0</v>
      </c>
      <c r="I29" s="56">
        <v>57.7203513464693</v>
      </c>
      <c r="J29" s="56">
        <v>18</v>
      </c>
      <c r="K29" s="56">
        <v>12</v>
      </c>
      <c r="L29" s="56">
        <v>8</v>
      </c>
    </row>
    <row r="30" spans="1:12" ht="26.45">
      <c r="A30" s="47">
        <v>2024</v>
      </c>
      <c r="B30" s="47" t="s">
        <v>73</v>
      </c>
      <c r="C30" s="47" t="s">
        <v>2071</v>
      </c>
      <c r="D30" s="50" t="s">
        <v>593</v>
      </c>
      <c r="E30" s="47" t="s">
        <v>8981</v>
      </c>
      <c r="F30" s="49">
        <v>45056.904761307902</v>
      </c>
      <c r="G30" s="47" t="s">
        <v>8982</v>
      </c>
      <c r="H30" s="47">
        <v>0</v>
      </c>
      <c r="I30" s="57">
        <v>54.141887465618503</v>
      </c>
      <c r="J30" s="57">
        <v>18</v>
      </c>
      <c r="K30" s="57">
        <v>12</v>
      </c>
      <c r="L30" s="57">
        <v>8</v>
      </c>
    </row>
    <row r="31" spans="1:12" ht="26.45">
      <c r="A31" s="44">
        <v>2024</v>
      </c>
      <c r="B31" s="44" t="s">
        <v>74</v>
      </c>
      <c r="C31" s="44" t="s">
        <v>2077</v>
      </c>
      <c r="D31" s="46" t="s">
        <v>594</v>
      </c>
      <c r="E31" s="44" t="s">
        <v>8981</v>
      </c>
      <c r="F31" s="51">
        <v>45056.906392395802</v>
      </c>
      <c r="G31" s="44" t="s">
        <v>8982</v>
      </c>
      <c r="H31" s="44">
        <v>0</v>
      </c>
      <c r="I31" s="56">
        <v>56.370701911833201</v>
      </c>
      <c r="J31" s="56">
        <v>18</v>
      </c>
      <c r="K31" s="56">
        <v>12</v>
      </c>
      <c r="L31" s="56">
        <v>8</v>
      </c>
    </row>
    <row r="32" spans="1:12" ht="26.45">
      <c r="A32" s="47">
        <v>2024</v>
      </c>
      <c r="B32" s="47" t="s">
        <v>75</v>
      </c>
      <c r="C32" s="47" t="s">
        <v>2083</v>
      </c>
      <c r="D32" s="50" t="s">
        <v>595</v>
      </c>
      <c r="E32" s="47" t="s">
        <v>8981</v>
      </c>
      <c r="F32" s="49">
        <v>45056.9086791667</v>
      </c>
      <c r="G32" s="47" t="s">
        <v>8982</v>
      </c>
      <c r="H32" s="47">
        <v>0</v>
      </c>
      <c r="I32" s="57">
        <v>50.177970864781201</v>
      </c>
      <c r="J32" s="57">
        <v>18</v>
      </c>
      <c r="K32" s="57">
        <v>12</v>
      </c>
      <c r="L32" s="57">
        <v>8</v>
      </c>
    </row>
    <row r="33" spans="1:12" ht="26.45">
      <c r="A33" s="44">
        <v>2024</v>
      </c>
      <c r="B33" s="44" t="s">
        <v>77</v>
      </c>
      <c r="C33" s="44" t="s">
        <v>2094</v>
      </c>
      <c r="D33" s="46" t="s">
        <v>596</v>
      </c>
      <c r="E33" s="44" t="s">
        <v>8981</v>
      </c>
      <c r="F33" s="51">
        <v>45056.8079905903</v>
      </c>
      <c r="G33" s="44" t="s">
        <v>8982</v>
      </c>
      <c r="H33" s="44">
        <v>0</v>
      </c>
      <c r="I33" s="56">
        <v>47.751770728374296</v>
      </c>
      <c r="J33" s="56">
        <v>18</v>
      </c>
      <c r="K33" s="56">
        <v>12</v>
      </c>
      <c r="L33" s="56">
        <v>8</v>
      </c>
    </row>
    <row r="34" spans="1:12" ht="26.45">
      <c r="A34" s="47">
        <v>2024</v>
      </c>
      <c r="B34" s="47" t="s">
        <v>78</v>
      </c>
      <c r="C34" s="47" t="s">
        <v>2100</v>
      </c>
      <c r="D34" s="50" t="s">
        <v>597</v>
      </c>
      <c r="E34" s="47" t="s">
        <v>8981</v>
      </c>
      <c r="F34" s="49">
        <v>45056.910294363399</v>
      </c>
      <c r="G34" s="47" t="s">
        <v>8982</v>
      </c>
      <c r="H34" s="47">
        <v>0</v>
      </c>
      <c r="I34" s="57">
        <v>60.692883912624303</v>
      </c>
      <c r="J34" s="57">
        <v>18</v>
      </c>
      <c r="K34" s="57">
        <v>12</v>
      </c>
      <c r="L34" s="57">
        <v>8</v>
      </c>
    </row>
    <row r="35" spans="1:12" ht="26.45">
      <c r="A35" s="44">
        <v>2024</v>
      </c>
      <c r="B35" s="44" t="s">
        <v>598</v>
      </c>
      <c r="C35" s="44" t="s">
        <v>2115</v>
      </c>
      <c r="D35" s="46" t="s">
        <v>599</v>
      </c>
      <c r="E35" s="44" t="s">
        <v>8981</v>
      </c>
      <c r="F35" s="51">
        <v>45056.895177199098</v>
      </c>
      <c r="G35" s="44" t="s">
        <v>8982</v>
      </c>
      <c r="H35" s="44">
        <v>0</v>
      </c>
      <c r="I35" s="56">
        <v>52.6201327784052</v>
      </c>
      <c r="J35" s="56">
        <v>18</v>
      </c>
      <c r="K35" s="56">
        <v>12</v>
      </c>
      <c r="L35" s="56">
        <v>8</v>
      </c>
    </row>
    <row r="36" spans="1:12" ht="26.45">
      <c r="A36" s="47">
        <v>2024</v>
      </c>
      <c r="B36" s="47" t="s">
        <v>79</v>
      </c>
      <c r="C36" s="47" t="s">
        <v>2157</v>
      </c>
      <c r="D36" s="50" t="s">
        <v>607</v>
      </c>
      <c r="E36" s="47" t="s">
        <v>8981</v>
      </c>
      <c r="F36" s="49">
        <v>45061.968829629601</v>
      </c>
      <c r="G36" s="47" t="s">
        <v>8982</v>
      </c>
      <c r="H36" s="47">
        <v>3</v>
      </c>
      <c r="I36" s="57">
        <v>32.593952454718902</v>
      </c>
      <c r="J36" s="57">
        <v>18</v>
      </c>
      <c r="K36" s="57">
        <v>0</v>
      </c>
      <c r="L36" s="57">
        <v>0</v>
      </c>
    </row>
    <row r="37" spans="1:12" ht="39.6">
      <c r="A37" s="44">
        <v>2024</v>
      </c>
      <c r="B37" s="44" t="s">
        <v>613</v>
      </c>
      <c r="C37" s="44" t="s">
        <v>2236</v>
      </c>
      <c r="D37" s="46" t="s">
        <v>614</v>
      </c>
      <c r="E37" s="44" t="s">
        <v>8986</v>
      </c>
      <c r="F37" s="51">
        <v>45356.948929201397</v>
      </c>
      <c r="G37" s="44" t="s">
        <v>8984</v>
      </c>
      <c r="H37" s="44">
        <v>0</v>
      </c>
      <c r="I37" s="56">
        <v>0</v>
      </c>
      <c r="J37" s="56">
        <v>0</v>
      </c>
      <c r="K37" s="56">
        <v>0</v>
      </c>
      <c r="L37" s="56">
        <v>0</v>
      </c>
    </row>
    <row r="38" spans="1:12" ht="26.45">
      <c r="A38" s="47">
        <v>2024</v>
      </c>
      <c r="B38" s="47" t="s">
        <v>83</v>
      </c>
      <c r="C38" s="47" t="s">
        <v>2250</v>
      </c>
      <c r="D38" s="50" t="s">
        <v>617</v>
      </c>
      <c r="E38" s="47" t="s">
        <v>8981</v>
      </c>
      <c r="F38" s="49">
        <v>45048.762058761597</v>
      </c>
      <c r="G38" s="47" t="s">
        <v>8982</v>
      </c>
      <c r="H38" s="47">
        <v>3</v>
      </c>
      <c r="I38" s="57">
        <v>0</v>
      </c>
      <c r="J38" s="57">
        <v>0</v>
      </c>
      <c r="K38" s="57">
        <v>12</v>
      </c>
      <c r="L38" s="57">
        <v>8</v>
      </c>
    </row>
    <row r="39" spans="1:12" ht="26.45">
      <c r="A39" s="44">
        <v>2024</v>
      </c>
      <c r="B39" s="44" t="s">
        <v>87</v>
      </c>
      <c r="C39" s="44" t="s">
        <v>2348</v>
      </c>
      <c r="D39" s="46" t="s">
        <v>625</v>
      </c>
      <c r="E39" s="44" t="s">
        <v>8981</v>
      </c>
      <c r="F39" s="51">
        <v>45012.971864432897</v>
      </c>
      <c r="G39" s="44" t="s">
        <v>8982</v>
      </c>
      <c r="H39" s="44">
        <v>0</v>
      </c>
      <c r="I39" s="56">
        <v>0</v>
      </c>
      <c r="J39" s="56">
        <v>0</v>
      </c>
      <c r="K39" s="56">
        <v>12</v>
      </c>
      <c r="L39" s="56">
        <v>8</v>
      </c>
    </row>
    <row r="40" spans="1:12" ht="26.45">
      <c r="A40" s="47">
        <v>2024</v>
      </c>
      <c r="B40" s="47" t="s">
        <v>89</v>
      </c>
      <c r="C40" s="47" t="s">
        <v>2368</v>
      </c>
      <c r="D40" s="50" t="s">
        <v>627</v>
      </c>
      <c r="E40" s="47" t="s">
        <v>8981</v>
      </c>
      <c r="F40" s="49">
        <v>45019.983651504597</v>
      </c>
      <c r="G40" s="47" t="s">
        <v>8987</v>
      </c>
      <c r="H40" s="47">
        <v>7</v>
      </c>
      <c r="I40" s="57">
        <v>41.005890489013403</v>
      </c>
      <c r="J40" s="57">
        <v>18</v>
      </c>
      <c r="K40" s="57">
        <v>2.38</v>
      </c>
      <c r="L40" s="57">
        <v>2.38</v>
      </c>
    </row>
    <row r="41" spans="1:12" ht="26.45">
      <c r="A41" s="44">
        <v>2024</v>
      </c>
      <c r="B41" s="44" t="s">
        <v>90</v>
      </c>
      <c r="C41" s="44" t="s">
        <v>2376</v>
      </c>
      <c r="D41" s="46" t="s">
        <v>632</v>
      </c>
      <c r="E41" s="44" t="s">
        <v>8981</v>
      </c>
      <c r="F41" s="51">
        <v>45014.7340441782</v>
      </c>
      <c r="G41" s="44" t="s">
        <v>8982</v>
      </c>
      <c r="H41" s="44">
        <v>2</v>
      </c>
      <c r="I41" s="56">
        <v>73.180006376650994</v>
      </c>
      <c r="J41" s="56">
        <v>18</v>
      </c>
      <c r="K41" s="56">
        <v>12</v>
      </c>
      <c r="L41" s="56">
        <v>8</v>
      </c>
    </row>
    <row r="42" spans="1:12" ht="26.45">
      <c r="A42" s="47">
        <v>2024</v>
      </c>
      <c r="B42" s="47" t="s">
        <v>635</v>
      </c>
      <c r="C42" s="47" t="s">
        <v>2382</v>
      </c>
      <c r="D42" s="50" t="s">
        <v>632</v>
      </c>
      <c r="E42" s="47" t="s">
        <v>8981</v>
      </c>
      <c r="F42" s="49">
        <v>45014.738273298601</v>
      </c>
      <c r="G42" s="47" t="s">
        <v>8982</v>
      </c>
      <c r="H42" s="47">
        <v>2</v>
      </c>
      <c r="I42" s="57">
        <v>46.249122786625399</v>
      </c>
      <c r="J42" s="57">
        <v>18</v>
      </c>
      <c r="K42" s="57">
        <v>12</v>
      </c>
      <c r="L42" s="57">
        <v>8</v>
      </c>
    </row>
    <row r="43" spans="1:12" ht="26.45">
      <c r="A43" s="44">
        <v>2024</v>
      </c>
      <c r="B43" s="44" t="s">
        <v>637</v>
      </c>
      <c r="C43" s="44" t="s">
        <v>2384</v>
      </c>
      <c r="D43" s="46" t="s">
        <v>632</v>
      </c>
      <c r="E43" s="44" t="s">
        <v>8981</v>
      </c>
      <c r="F43" s="51">
        <v>45014.740474687504</v>
      </c>
      <c r="G43" s="44" t="s">
        <v>8982</v>
      </c>
      <c r="H43" s="44">
        <v>2</v>
      </c>
      <c r="I43" s="56">
        <v>144.05353786711299</v>
      </c>
      <c r="J43" s="56">
        <v>18</v>
      </c>
      <c r="K43" s="56">
        <v>12</v>
      </c>
      <c r="L43" s="56">
        <v>8</v>
      </c>
    </row>
    <row r="44" spans="1:12" ht="26.45">
      <c r="A44" s="47">
        <v>2024</v>
      </c>
      <c r="B44" s="47" t="s">
        <v>636</v>
      </c>
      <c r="C44" s="47" t="s">
        <v>2388</v>
      </c>
      <c r="D44" s="50" t="s">
        <v>632</v>
      </c>
      <c r="E44" s="47" t="s">
        <v>8981</v>
      </c>
      <c r="F44" s="49">
        <v>45014.745880057897</v>
      </c>
      <c r="G44" s="47" t="s">
        <v>8982</v>
      </c>
      <c r="H44" s="47">
        <v>2</v>
      </c>
      <c r="I44" s="57">
        <v>52.740936373752902</v>
      </c>
      <c r="J44" s="57">
        <v>18</v>
      </c>
      <c r="K44" s="57">
        <v>12</v>
      </c>
      <c r="L44" s="57">
        <v>8</v>
      </c>
    </row>
    <row r="45" spans="1:12" ht="26.45">
      <c r="A45" s="44">
        <v>2024</v>
      </c>
      <c r="B45" s="44" t="s">
        <v>633</v>
      </c>
      <c r="C45" s="44" t="s">
        <v>2390</v>
      </c>
      <c r="D45" s="46" t="s">
        <v>632</v>
      </c>
      <c r="E45" s="44" t="s">
        <v>8981</v>
      </c>
      <c r="F45" s="51">
        <v>45014.736157372703</v>
      </c>
      <c r="G45" s="44" t="s">
        <v>8982</v>
      </c>
      <c r="H45" s="44">
        <v>2</v>
      </c>
      <c r="I45" s="56">
        <v>90.029842622658506</v>
      </c>
      <c r="J45" s="56">
        <v>18</v>
      </c>
      <c r="K45" s="56">
        <v>12</v>
      </c>
      <c r="L45" s="56">
        <v>8</v>
      </c>
    </row>
    <row r="46" spans="1:12" ht="26.45">
      <c r="A46" s="47">
        <v>2024</v>
      </c>
      <c r="B46" s="47" t="s">
        <v>91</v>
      </c>
      <c r="C46" s="47" t="s">
        <v>2392</v>
      </c>
      <c r="D46" s="50" t="s">
        <v>632</v>
      </c>
      <c r="E46" s="47" t="s">
        <v>8981</v>
      </c>
      <c r="F46" s="49">
        <v>45009.975492511599</v>
      </c>
      <c r="G46" s="47" t="s">
        <v>8982</v>
      </c>
      <c r="H46" s="47">
        <v>1</v>
      </c>
      <c r="I46" s="57">
        <v>37.708881918466197</v>
      </c>
      <c r="J46" s="57">
        <v>18</v>
      </c>
      <c r="K46" s="57">
        <v>12</v>
      </c>
      <c r="L46" s="57">
        <v>8</v>
      </c>
    </row>
    <row r="47" spans="1:12" ht="26.45">
      <c r="A47" s="44">
        <v>2024</v>
      </c>
      <c r="B47" s="44" t="s">
        <v>631</v>
      </c>
      <c r="C47" s="44" t="s">
        <v>2394</v>
      </c>
      <c r="D47" s="46" t="s">
        <v>632</v>
      </c>
      <c r="E47" s="44" t="s">
        <v>8981</v>
      </c>
      <c r="F47" s="51">
        <v>45014.749453044002</v>
      </c>
      <c r="G47" s="44" t="s">
        <v>8982</v>
      </c>
      <c r="H47" s="44">
        <v>2</v>
      </c>
      <c r="I47" s="56">
        <v>41.694578675595601</v>
      </c>
      <c r="J47" s="56">
        <v>18</v>
      </c>
      <c r="K47" s="56">
        <v>12</v>
      </c>
      <c r="L47" s="56">
        <v>8</v>
      </c>
    </row>
    <row r="48" spans="1:12" ht="26.45">
      <c r="A48" s="47">
        <v>2024</v>
      </c>
      <c r="B48" s="47" t="s">
        <v>92</v>
      </c>
      <c r="C48" s="47" t="s">
        <v>2399</v>
      </c>
      <c r="D48" s="50" t="s">
        <v>632</v>
      </c>
      <c r="E48" s="47" t="s">
        <v>8981</v>
      </c>
      <c r="F48" s="49">
        <v>45014.751514155098</v>
      </c>
      <c r="G48" s="47" t="s">
        <v>8982</v>
      </c>
      <c r="H48" s="47">
        <v>2</v>
      </c>
      <c r="I48" s="57">
        <v>47.619089792982301</v>
      </c>
      <c r="J48" s="57">
        <v>18</v>
      </c>
      <c r="K48" s="57">
        <v>12</v>
      </c>
      <c r="L48" s="57">
        <v>8</v>
      </c>
    </row>
    <row r="49" spans="1:12" ht="26.45">
      <c r="A49" s="44">
        <v>2024</v>
      </c>
      <c r="B49" s="44" t="s">
        <v>634</v>
      </c>
      <c r="C49" s="44" t="s">
        <v>2402</v>
      </c>
      <c r="D49" s="46" t="s">
        <v>632</v>
      </c>
      <c r="E49" s="44" t="s">
        <v>8981</v>
      </c>
      <c r="F49" s="51">
        <v>45014.753866168998</v>
      </c>
      <c r="G49" s="44" t="s">
        <v>8982</v>
      </c>
      <c r="H49" s="44">
        <v>2</v>
      </c>
      <c r="I49" s="56">
        <v>57.647868713217697</v>
      </c>
      <c r="J49" s="56">
        <v>18</v>
      </c>
      <c r="K49" s="56">
        <v>12</v>
      </c>
      <c r="L49" s="56">
        <v>8</v>
      </c>
    </row>
    <row r="50" spans="1:12" ht="26.45">
      <c r="A50" s="47">
        <v>2024</v>
      </c>
      <c r="B50" s="47" t="s">
        <v>628</v>
      </c>
      <c r="C50" s="47" t="s">
        <v>2404</v>
      </c>
      <c r="D50" s="50" t="s">
        <v>629</v>
      </c>
      <c r="E50" s="47" t="s">
        <v>8981</v>
      </c>
      <c r="F50" s="49">
        <v>45006.795739386602</v>
      </c>
      <c r="G50" s="47" t="s">
        <v>8984</v>
      </c>
      <c r="H50" s="47">
        <v>1</v>
      </c>
      <c r="I50" s="57">
        <v>79.870419505831094</v>
      </c>
      <c r="J50" s="57">
        <v>18</v>
      </c>
      <c r="K50" s="57">
        <v>12</v>
      </c>
      <c r="L50" s="57">
        <v>8</v>
      </c>
    </row>
    <row r="51" spans="1:12" ht="26.45">
      <c r="A51" s="44">
        <v>2024</v>
      </c>
      <c r="B51" s="44" t="s">
        <v>93</v>
      </c>
      <c r="C51" s="44" t="s">
        <v>2410</v>
      </c>
      <c r="D51" s="46" t="s">
        <v>630</v>
      </c>
      <c r="E51" s="44" t="s">
        <v>8981</v>
      </c>
      <c r="F51" s="51">
        <v>45014.730123726898</v>
      </c>
      <c r="G51" s="44" t="s">
        <v>8982</v>
      </c>
      <c r="H51" s="44">
        <v>2</v>
      </c>
      <c r="I51" s="56">
        <v>75.243018811602496</v>
      </c>
      <c r="J51" s="56">
        <v>18</v>
      </c>
      <c r="K51" s="56">
        <v>12</v>
      </c>
      <c r="L51" s="56">
        <v>8</v>
      </c>
    </row>
    <row r="52" spans="1:12" ht="26.45">
      <c r="A52" s="47">
        <v>2024</v>
      </c>
      <c r="B52" s="47" t="s">
        <v>94</v>
      </c>
      <c r="C52" s="47" t="s">
        <v>2415</v>
      </c>
      <c r="D52" s="50" t="s">
        <v>638</v>
      </c>
      <c r="E52" s="47" t="s">
        <v>8981</v>
      </c>
      <c r="F52" s="49">
        <v>45030.942640080997</v>
      </c>
      <c r="G52" s="47" t="s">
        <v>8982</v>
      </c>
      <c r="H52" s="47">
        <v>0</v>
      </c>
      <c r="I52" s="57">
        <v>30.8173247138355</v>
      </c>
      <c r="J52" s="57">
        <v>18</v>
      </c>
      <c r="K52" s="57">
        <v>5.07</v>
      </c>
      <c r="L52" s="57">
        <v>5.07</v>
      </c>
    </row>
    <row r="53" spans="1:12" ht="26.45">
      <c r="A53" s="44">
        <v>2024</v>
      </c>
      <c r="B53" s="44" t="s">
        <v>95</v>
      </c>
      <c r="C53" s="44" t="s">
        <v>2461</v>
      </c>
      <c r="D53" s="46" t="s">
        <v>645</v>
      </c>
      <c r="E53" s="44" t="s">
        <v>8981</v>
      </c>
      <c r="F53" s="51">
        <v>45020.944486805602</v>
      </c>
      <c r="G53" s="44" t="s">
        <v>8983</v>
      </c>
      <c r="H53" s="44">
        <v>0</v>
      </c>
      <c r="I53" s="56">
        <v>74.483186155772799</v>
      </c>
      <c r="J53" s="56">
        <v>18</v>
      </c>
      <c r="K53" s="56">
        <v>5.94</v>
      </c>
      <c r="L53" s="56">
        <v>5.94</v>
      </c>
    </row>
    <row r="54" spans="1:12" ht="26.45">
      <c r="A54" s="47">
        <v>2024</v>
      </c>
      <c r="B54" s="47" t="s">
        <v>100</v>
      </c>
      <c r="C54" s="47" t="s">
        <v>2504</v>
      </c>
      <c r="D54" s="50" t="s">
        <v>650</v>
      </c>
      <c r="E54" s="47" t="s">
        <v>8981</v>
      </c>
      <c r="F54" s="49">
        <v>45104.723645983802</v>
      </c>
      <c r="G54" s="47" t="s">
        <v>8984</v>
      </c>
      <c r="H54" s="47">
        <v>18</v>
      </c>
      <c r="I54" s="57">
        <v>15.954525081097399</v>
      </c>
      <c r="J54" s="57">
        <v>15.954525081097399</v>
      </c>
      <c r="K54" s="57">
        <v>3.58</v>
      </c>
      <c r="L54" s="57">
        <v>3.58</v>
      </c>
    </row>
    <row r="55" spans="1:12" ht="26.45">
      <c r="A55" s="44">
        <v>2024</v>
      </c>
      <c r="B55" s="44" t="s">
        <v>115</v>
      </c>
      <c r="C55" s="44" t="s">
        <v>2563</v>
      </c>
      <c r="D55" s="46" t="s">
        <v>660</v>
      </c>
      <c r="E55" s="44" t="s">
        <v>8981</v>
      </c>
      <c r="F55" s="51">
        <v>45034.8053986921</v>
      </c>
      <c r="G55" s="44" t="s">
        <v>8988</v>
      </c>
      <c r="H55" s="44">
        <v>5</v>
      </c>
      <c r="I55" s="56">
        <v>30.6142214458268</v>
      </c>
      <c r="J55" s="56">
        <v>18</v>
      </c>
      <c r="K55" s="56">
        <v>7.54</v>
      </c>
      <c r="L55" s="56">
        <v>7.54</v>
      </c>
    </row>
    <row r="56" spans="1:12" ht="26.45">
      <c r="A56" s="47">
        <v>2024</v>
      </c>
      <c r="B56" s="47" t="s">
        <v>118</v>
      </c>
      <c r="C56" s="47" t="s">
        <v>2587</v>
      </c>
      <c r="D56" s="50" t="s">
        <v>663</v>
      </c>
      <c r="E56" s="47" t="s">
        <v>8981</v>
      </c>
      <c r="F56" s="49">
        <v>45034.736721377303</v>
      </c>
      <c r="G56" s="47" t="s">
        <v>8985</v>
      </c>
      <c r="H56" s="47">
        <v>5</v>
      </c>
      <c r="I56" s="57">
        <v>47.079602530136</v>
      </c>
      <c r="J56" s="57">
        <v>18</v>
      </c>
      <c r="K56" s="57">
        <v>12</v>
      </c>
      <c r="L56" s="57">
        <v>8</v>
      </c>
    </row>
    <row r="57" spans="1:12" ht="26.45">
      <c r="A57" s="44">
        <v>2024</v>
      </c>
      <c r="B57" s="44" t="s">
        <v>665</v>
      </c>
      <c r="C57" s="44" t="s">
        <v>2608</v>
      </c>
      <c r="D57" s="46" t="s">
        <v>666</v>
      </c>
      <c r="E57" s="44" t="s">
        <v>8981</v>
      </c>
      <c r="F57" s="51">
        <v>45001.853806053201</v>
      </c>
      <c r="G57" s="44" t="s">
        <v>8987</v>
      </c>
      <c r="H57" s="44">
        <v>12</v>
      </c>
      <c r="I57" s="56">
        <v>46.621923190459398</v>
      </c>
      <c r="J57" s="56">
        <v>18</v>
      </c>
      <c r="K57" s="56">
        <v>9.4</v>
      </c>
      <c r="L57" s="56">
        <v>8</v>
      </c>
    </row>
    <row r="58" spans="1:12" ht="26.45">
      <c r="A58" s="47">
        <v>2024</v>
      </c>
      <c r="B58" s="47" t="s">
        <v>120</v>
      </c>
      <c r="C58" s="47" t="s">
        <v>2628</v>
      </c>
      <c r="D58" s="50" t="s">
        <v>667</v>
      </c>
      <c r="E58" s="47" t="s">
        <v>8981</v>
      </c>
      <c r="F58" s="49">
        <v>45062.734264664403</v>
      </c>
      <c r="G58" s="47" t="s">
        <v>8989</v>
      </c>
      <c r="H58" s="47">
        <v>0</v>
      </c>
      <c r="I58" s="57">
        <v>42.559383902934499</v>
      </c>
      <c r="J58" s="57">
        <v>18</v>
      </c>
      <c r="K58" s="57">
        <v>8.5399999999999991</v>
      </c>
      <c r="L58" s="57">
        <v>8</v>
      </c>
    </row>
    <row r="59" spans="1:12" ht="26.45">
      <c r="A59" s="44">
        <v>2024</v>
      </c>
      <c r="B59" s="44" t="s">
        <v>668</v>
      </c>
      <c r="C59" s="44" t="s">
        <v>2646</v>
      </c>
      <c r="D59" s="46" t="s">
        <v>669</v>
      </c>
      <c r="E59" s="44" t="s">
        <v>8981</v>
      </c>
      <c r="F59" s="51">
        <v>45069.777036574102</v>
      </c>
      <c r="G59" s="44" t="s">
        <v>8983</v>
      </c>
      <c r="H59" s="44">
        <v>0</v>
      </c>
      <c r="I59" s="56">
        <v>34.552549271850502</v>
      </c>
      <c r="J59" s="56">
        <v>18</v>
      </c>
      <c r="K59" s="56">
        <v>12</v>
      </c>
      <c r="L59" s="56">
        <v>8</v>
      </c>
    </row>
    <row r="60" spans="1:12" ht="26.45">
      <c r="A60" s="47">
        <v>2024</v>
      </c>
      <c r="B60" s="47" t="s">
        <v>121</v>
      </c>
      <c r="C60" s="47" t="s">
        <v>2662</v>
      </c>
      <c r="D60" s="50" t="s">
        <v>670</v>
      </c>
      <c r="E60" s="47" t="s">
        <v>8981</v>
      </c>
      <c r="F60" s="49">
        <v>45002.8785410532</v>
      </c>
      <c r="G60" s="47" t="s">
        <v>8990</v>
      </c>
      <c r="H60" s="47">
        <v>0</v>
      </c>
      <c r="I60" s="57">
        <v>32.841436976269499</v>
      </c>
      <c r="J60" s="57">
        <v>18</v>
      </c>
      <c r="K60" s="57">
        <v>10.82</v>
      </c>
      <c r="L60" s="57">
        <v>8</v>
      </c>
    </row>
    <row r="61" spans="1:12" ht="26.45">
      <c r="A61" s="44">
        <v>2024</v>
      </c>
      <c r="B61" s="44" t="s">
        <v>125</v>
      </c>
      <c r="C61" s="44" t="s">
        <v>2774</v>
      </c>
      <c r="D61" s="46" t="s">
        <v>676</v>
      </c>
      <c r="E61" s="44" t="s">
        <v>8981</v>
      </c>
      <c r="F61" s="51">
        <v>45020.710478738401</v>
      </c>
      <c r="G61" s="44" t="s">
        <v>8985</v>
      </c>
      <c r="H61" s="44">
        <v>4</v>
      </c>
      <c r="I61" s="56">
        <v>33.5081985151892</v>
      </c>
      <c r="J61" s="56">
        <v>18</v>
      </c>
      <c r="K61" s="56">
        <v>5.05</v>
      </c>
      <c r="L61" s="56">
        <v>5.05</v>
      </c>
    </row>
    <row r="62" spans="1:12" ht="26.45">
      <c r="A62" s="47">
        <v>2024</v>
      </c>
      <c r="B62" s="47" t="s">
        <v>677</v>
      </c>
      <c r="C62" s="47" t="s">
        <v>2782</v>
      </c>
      <c r="D62" s="50" t="s">
        <v>678</v>
      </c>
      <c r="E62" s="47" t="s">
        <v>8981</v>
      </c>
      <c r="F62" s="49">
        <v>45034.763864039298</v>
      </c>
      <c r="G62" s="47" t="s">
        <v>8985</v>
      </c>
      <c r="H62" s="47">
        <v>8</v>
      </c>
      <c r="I62" s="57">
        <v>5.6757529240956499</v>
      </c>
      <c r="J62" s="57">
        <v>5.6757529240956499</v>
      </c>
      <c r="K62" s="57">
        <v>4.0599999999999996</v>
      </c>
      <c r="L62" s="57">
        <v>4.0599999999999996</v>
      </c>
    </row>
    <row r="63" spans="1:12" ht="26.45">
      <c r="A63" s="44">
        <v>2024</v>
      </c>
      <c r="B63" s="44" t="s">
        <v>126</v>
      </c>
      <c r="C63" s="44" t="s">
        <v>2794</v>
      </c>
      <c r="D63" s="46" t="s">
        <v>679</v>
      </c>
      <c r="E63" s="44" t="s">
        <v>8981</v>
      </c>
      <c r="F63" s="51">
        <v>45014.884335219896</v>
      </c>
      <c r="G63" s="44" t="s">
        <v>8987</v>
      </c>
      <c r="H63" s="44">
        <v>6</v>
      </c>
      <c r="I63" s="56">
        <v>30.549084611409999</v>
      </c>
      <c r="J63" s="56">
        <v>18</v>
      </c>
      <c r="K63" s="56">
        <v>0</v>
      </c>
      <c r="L63" s="56">
        <v>0</v>
      </c>
    </row>
    <row r="64" spans="1:12" ht="39.6">
      <c r="A64" s="47">
        <v>2024</v>
      </c>
      <c r="B64" s="47" t="s">
        <v>127</v>
      </c>
      <c r="C64" s="47" t="s">
        <v>2818</v>
      </c>
      <c r="D64" s="50" t="s">
        <v>680</v>
      </c>
      <c r="E64" s="47" t="s">
        <v>8981</v>
      </c>
      <c r="F64" s="49">
        <v>45135.626970752302</v>
      </c>
      <c r="G64" s="47" t="s">
        <v>8985</v>
      </c>
      <c r="H64" s="47">
        <v>7</v>
      </c>
      <c r="I64" s="57">
        <v>10.393570860482001</v>
      </c>
      <c r="J64" s="57">
        <v>10.393570860482001</v>
      </c>
      <c r="K64" s="57">
        <v>9.7200000000000006</v>
      </c>
      <c r="L64" s="57">
        <v>8</v>
      </c>
    </row>
    <row r="65" spans="1:12" ht="39.6">
      <c r="A65" s="44">
        <v>2024</v>
      </c>
      <c r="B65" s="44" t="s">
        <v>128</v>
      </c>
      <c r="C65" s="44" t="s">
        <v>2823</v>
      </c>
      <c r="D65" s="46" t="s">
        <v>681</v>
      </c>
      <c r="E65" s="44" t="s">
        <v>8981</v>
      </c>
      <c r="F65" s="51">
        <v>45135.625640243103</v>
      </c>
      <c r="G65" s="44" t="s">
        <v>8985</v>
      </c>
      <c r="H65" s="44">
        <v>7</v>
      </c>
      <c r="I65" s="56">
        <v>25.020544794658498</v>
      </c>
      <c r="J65" s="56">
        <v>18</v>
      </c>
      <c r="K65" s="56">
        <v>10.32</v>
      </c>
      <c r="L65" s="56">
        <v>8</v>
      </c>
    </row>
    <row r="66" spans="1:12" ht="26.45">
      <c r="A66" s="47">
        <v>2024</v>
      </c>
      <c r="B66" s="47" t="s">
        <v>132</v>
      </c>
      <c r="C66" s="47" t="s">
        <v>2870</v>
      </c>
      <c r="D66" s="50" t="s">
        <v>685</v>
      </c>
      <c r="E66" s="47" t="s">
        <v>8981</v>
      </c>
      <c r="F66" s="49">
        <v>45057.975755243097</v>
      </c>
      <c r="G66" s="47" t="s">
        <v>8988</v>
      </c>
      <c r="H66" s="47">
        <v>0</v>
      </c>
      <c r="I66" s="57">
        <v>33.322552719418802</v>
      </c>
      <c r="J66" s="57">
        <v>18</v>
      </c>
      <c r="K66" s="57">
        <v>2.82</v>
      </c>
      <c r="L66" s="57">
        <v>2.82</v>
      </c>
    </row>
    <row r="67" spans="1:12" ht="26.45">
      <c r="A67" s="44">
        <v>2024</v>
      </c>
      <c r="B67" s="44" t="s">
        <v>689</v>
      </c>
      <c r="C67" s="44" t="s">
        <v>2929</v>
      </c>
      <c r="D67" s="46" t="s">
        <v>690</v>
      </c>
      <c r="E67" s="44" t="s">
        <v>8981</v>
      </c>
      <c r="F67" s="51">
        <v>45064.663232951403</v>
      </c>
      <c r="G67" s="44" t="s">
        <v>8990</v>
      </c>
      <c r="H67" s="44">
        <v>1</v>
      </c>
      <c r="I67" s="56">
        <v>32.514507294321803</v>
      </c>
      <c r="J67" s="56">
        <v>18</v>
      </c>
      <c r="K67" s="56">
        <v>12</v>
      </c>
      <c r="L67" s="56">
        <v>8</v>
      </c>
    </row>
    <row r="68" spans="1:12" ht="26.45">
      <c r="A68" s="47">
        <v>2024</v>
      </c>
      <c r="B68" s="47" t="s">
        <v>137</v>
      </c>
      <c r="C68" s="47" t="s">
        <v>2939</v>
      </c>
      <c r="D68" s="50" t="s">
        <v>691</v>
      </c>
      <c r="E68" s="47" t="s">
        <v>8981</v>
      </c>
      <c r="F68" s="49">
        <v>45020.679909571802</v>
      </c>
      <c r="G68" s="47" t="s">
        <v>8985</v>
      </c>
      <c r="H68" s="47">
        <v>4</v>
      </c>
      <c r="I68" s="57">
        <v>79.227787663757297</v>
      </c>
      <c r="J68" s="57">
        <v>18</v>
      </c>
      <c r="K68" s="57">
        <v>12</v>
      </c>
      <c r="L68" s="57">
        <v>8</v>
      </c>
    </row>
    <row r="69" spans="1:12" ht="26.45">
      <c r="A69" s="44">
        <v>2024</v>
      </c>
      <c r="B69" s="44" t="s">
        <v>138</v>
      </c>
      <c r="C69" s="44" t="s">
        <v>2956</v>
      </c>
      <c r="D69" s="46" t="s">
        <v>694</v>
      </c>
      <c r="E69" s="44" t="s">
        <v>8981</v>
      </c>
      <c r="F69" s="51">
        <v>45020.673601967603</v>
      </c>
      <c r="G69" s="44" t="s">
        <v>8985</v>
      </c>
      <c r="H69" s="44">
        <v>5</v>
      </c>
      <c r="I69" s="56">
        <v>28.659970927118401</v>
      </c>
      <c r="J69" s="56">
        <v>18</v>
      </c>
      <c r="K69" s="56">
        <v>4.88</v>
      </c>
      <c r="L69" s="56">
        <v>4.88</v>
      </c>
    </row>
    <row r="70" spans="1:12" ht="26.45">
      <c r="A70" s="47">
        <v>2024</v>
      </c>
      <c r="B70" s="47" t="s">
        <v>140</v>
      </c>
      <c r="C70" s="47" t="s">
        <v>2985</v>
      </c>
      <c r="D70" s="50" t="s">
        <v>696</v>
      </c>
      <c r="E70" s="47" t="s">
        <v>8981</v>
      </c>
      <c r="F70" s="49">
        <v>45057.649408715297</v>
      </c>
      <c r="G70" s="47" t="s">
        <v>8984</v>
      </c>
      <c r="H70" s="47">
        <v>10</v>
      </c>
      <c r="I70" s="57">
        <v>32.493230630556603</v>
      </c>
      <c r="J70" s="57">
        <v>18</v>
      </c>
      <c r="K70" s="57">
        <v>3.17</v>
      </c>
      <c r="L70" s="57">
        <v>3.17</v>
      </c>
    </row>
    <row r="71" spans="1:12" ht="26.45">
      <c r="A71" s="44">
        <v>2024</v>
      </c>
      <c r="B71" s="44" t="s">
        <v>697</v>
      </c>
      <c r="C71" s="44" t="s">
        <v>2993</v>
      </c>
      <c r="D71" s="46" t="s">
        <v>698</v>
      </c>
      <c r="E71" s="44" t="s">
        <v>8981</v>
      </c>
      <c r="F71" s="51">
        <v>45303.648211724503</v>
      </c>
      <c r="G71" s="44" t="s">
        <v>8984</v>
      </c>
      <c r="H71" s="44">
        <v>2</v>
      </c>
      <c r="I71" s="56">
        <v>7.4622248963991797</v>
      </c>
      <c r="J71" s="56">
        <v>7.4622248963991797</v>
      </c>
      <c r="K71" s="56">
        <v>7.82</v>
      </c>
      <c r="L71" s="56">
        <v>7.82</v>
      </c>
    </row>
    <row r="72" spans="1:12" ht="26.45">
      <c r="A72" s="47">
        <v>2024</v>
      </c>
      <c r="B72" s="47" t="s">
        <v>141</v>
      </c>
      <c r="C72" s="47" t="s">
        <v>3014</v>
      </c>
      <c r="D72" s="50" t="s">
        <v>699</v>
      </c>
      <c r="E72" s="47" t="s">
        <v>8981</v>
      </c>
      <c r="F72" s="49">
        <v>45014.727464201402</v>
      </c>
      <c r="G72" s="47" t="s">
        <v>8983</v>
      </c>
      <c r="H72" s="47">
        <v>2</v>
      </c>
      <c r="I72" s="57">
        <v>30.423655520163901</v>
      </c>
      <c r="J72" s="57">
        <v>18</v>
      </c>
      <c r="K72" s="57">
        <v>3.53</v>
      </c>
      <c r="L72" s="57">
        <v>3.53</v>
      </c>
    </row>
    <row r="73" spans="1:12" ht="26.45">
      <c r="A73" s="44">
        <v>2024</v>
      </c>
      <c r="B73" s="44" t="s">
        <v>143</v>
      </c>
      <c r="C73" s="44" t="s">
        <v>3031</v>
      </c>
      <c r="D73" s="46" t="s">
        <v>701</v>
      </c>
      <c r="E73" s="44" t="s">
        <v>8981</v>
      </c>
      <c r="F73" s="51">
        <v>44985.815025613403</v>
      </c>
      <c r="G73" s="44" t="s">
        <v>8985</v>
      </c>
      <c r="H73" s="44">
        <v>3</v>
      </c>
      <c r="I73" s="56">
        <v>41.4128003347858</v>
      </c>
      <c r="J73" s="56">
        <v>18</v>
      </c>
      <c r="K73" s="56">
        <v>5.44</v>
      </c>
      <c r="L73" s="56">
        <v>5.44</v>
      </c>
    </row>
    <row r="74" spans="1:12" ht="26.45">
      <c r="A74" s="47">
        <v>2024</v>
      </c>
      <c r="B74" s="47" t="s">
        <v>144</v>
      </c>
      <c r="C74" s="47" t="s">
        <v>3038</v>
      </c>
      <c r="D74" s="50" t="s">
        <v>702</v>
      </c>
      <c r="E74" s="47" t="s">
        <v>8981</v>
      </c>
      <c r="F74" s="49">
        <v>45002.910671643498</v>
      </c>
      <c r="G74" s="47" t="s">
        <v>8990</v>
      </c>
      <c r="H74" s="47">
        <v>10</v>
      </c>
      <c r="I74" s="57">
        <v>0</v>
      </c>
      <c r="J74" s="57">
        <v>0</v>
      </c>
      <c r="K74" s="57">
        <v>12</v>
      </c>
      <c r="L74" s="57">
        <v>8</v>
      </c>
    </row>
    <row r="75" spans="1:12" ht="26.45">
      <c r="A75" s="44">
        <v>2024</v>
      </c>
      <c r="B75" s="44" t="s">
        <v>3061</v>
      </c>
      <c r="C75" s="44" t="s">
        <v>3062</v>
      </c>
      <c r="D75" s="46" t="s">
        <v>3063</v>
      </c>
      <c r="E75" s="44" t="s">
        <v>8981</v>
      </c>
      <c r="F75" s="51">
        <v>45309.688850497703</v>
      </c>
      <c r="G75" s="44" t="s">
        <v>8984</v>
      </c>
      <c r="H75" s="44">
        <v>0</v>
      </c>
      <c r="I75" s="56">
        <v>25.5398227467239</v>
      </c>
      <c r="J75" s="56">
        <v>18</v>
      </c>
      <c r="K75" s="56">
        <v>12</v>
      </c>
      <c r="L75" s="56">
        <v>8</v>
      </c>
    </row>
    <row r="76" spans="1:12" ht="26.45">
      <c r="A76" s="47">
        <v>2024</v>
      </c>
      <c r="B76" s="47" t="s">
        <v>706</v>
      </c>
      <c r="C76" s="47" t="s">
        <v>3098</v>
      </c>
      <c r="D76" s="50" t="s">
        <v>707</v>
      </c>
      <c r="E76" s="47" t="s">
        <v>8981</v>
      </c>
      <c r="F76" s="49">
        <v>45056.768322071803</v>
      </c>
      <c r="G76" s="47" t="s">
        <v>8985</v>
      </c>
      <c r="H76" s="47">
        <v>1</v>
      </c>
      <c r="I76" s="57">
        <v>61.152594153859198</v>
      </c>
      <c r="J76" s="57">
        <v>18</v>
      </c>
      <c r="K76" s="57">
        <v>12</v>
      </c>
      <c r="L76" s="57">
        <v>8</v>
      </c>
    </row>
    <row r="77" spans="1:12" ht="26.45">
      <c r="A77" s="44">
        <v>2024</v>
      </c>
      <c r="B77" s="44" t="s">
        <v>148</v>
      </c>
      <c r="C77" s="44" t="s">
        <v>3105</v>
      </c>
      <c r="D77" s="46" t="s">
        <v>708</v>
      </c>
      <c r="E77" s="44" t="s">
        <v>8981</v>
      </c>
      <c r="F77" s="51">
        <v>45063.779634259299</v>
      </c>
      <c r="G77" s="44" t="s">
        <v>8985</v>
      </c>
      <c r="H77" s="44">
        <v>2</v>
      </c>
      <c r="I77" s="56">
        <v>22.603609390968401</v>
      </c>
      <c r="J77" s="56">
        <v>18</v>
      </c>
      <c r="K77" s="56">
        <v>1.7</v>
      </c>
      <c r="L77" s="56">
        <v>1.7</v>
      </c>
    </row>
    <row r="78" spans="1:12" ht="26.45">
      <c r="A78" s="47">
        <v>2024</v>
      </c>
      <c r="B78" s="47" t="s">
        <v>149</v>
      </c>
      <c r="C78" s="47" t="s">
        <v>3173</v>
      </c>
      <c r="D78" s="50" t="s">
        <v>709</v>
      </c>
      <c r="E78" s="47" t="s">
        <v>8981</v>
      </c>
      <c r="F78" s="49">
        <v>45002.899603935199</v>
      </c>
      <c r="G78" s="47" t="s">
        <v>8990</v>
      </c>
      <c r="H78" s="47">
        <v>4</v>
      </c>
      <c r="I78" s="57">
        <v>50.6628877038643</v>
      </c>
      <c r="J78" s="57">
        <v>18</v>
      </c>
      <c r="K78" s="57">
        <v>10.78</v>
      </c>
      <c r="L78" s="57">
        <v>8</v>
      </c>
    </row>
    <row r="79" spans="1:12" ht="26.45">
      <c r="A79" s="44">
        <v>2024</v>
      </c>
      <c r="B79" s="44" t="s">
        <v>150</v>
      </c>
      <c r="C79" s="44" t="s">
        <v>3181</v>
      </c>
      <c r="D79" s="46" t="s">
        <v>710</v>
      </c>
      <c r="E79" s="44" t="s">
        <v>8981</v>
      </c>
      <c r="F79" s="51">
        <v>45008.691776539403</v>
      </c>
      <c r="G79" s="44" t="s">
        <v>8987</v>
      </c>
      <c r="H79" s="44">
        <v>1</v>
      </c>
      <c r="I79" s="56">
        <v>37.2294887942654</v>
      </c>
      <c r="J79" s="56">
        <v>18</v>
      </c>
      <c r="K79" s="56">
        <v>4.55</v>
      </c>
      <c r="L79" s="56">
        <v>4.55</v>
      </c>
    </row>
    <row r="80" spans="1:12" ht="26.45">
      <c r="A80" s="47">
        <v>2024</v>
      </c>
      <c r="B80" s="47" t="s">
        <v>713</v>
      </c>
      <c r="C80" s="47" t="s">
        <v>3214</v>
      </c>
      <c r="D80" s="50" t="s">
        <v>714</v>
      </c>
      <c r="E80" s="47" t="s">
        <v>8981</v>
      </c>
      <c r="F80" s="49">
        <v>45056.767218831003</v>
      </c>
      <c r="G80" s="47" t="s">
        <v>8985</v>
      </c>
      <c r="H80" s="47">
        <v>1</v>
      </c>
      <c r="I80" s="57">
        <v>60.2554339984748</v>
      </c>
      <c r="J80" s="57">
        <v>18</v>
      </c>
      <c r="K80" s="57">
        <v>12</v>
      </c>
      <c r="L80" s="57">
        <v>8</v>
      </c>
    </row>
    <row r="81" spans="1:12" ht="26.45">
      <c r="A81" s="44">
        <v>2024</v>
      </c>
      <c r="B81" s="44" t="s">
        <v>715</v>
      </c>
      <c r="C81" s="44" t="s">
        <v>3218</v>
      </c>
      <c r="D81" s="46" t="s">
        <v>716</v>
      </c>
      <c r="E81" s="44" t="s">
        <v>8981</v>
      </c>
      <c r="F81" s="51">
        <v>45014.697392395799</v>
      </c>
      <c r="G81" s="44" t="s">
        <v>8983</v>
      </c>
      <c r="H81" s="44">
        <v>9</v>
      </c>
      <c r="I81" s="56">
        <v>49.227537791999303</v>
      </c>
      <c r="J81" s="56">
        <v>18</v>
      </c>
      <c r="K81" s="56">
        <v>12</v>
      </c>
      <c r="L81" s="56">
        <v>8</v>
      </c>
    </row>
    <row r="82" spans="1:12" ht="26.45">
      <c r="A82" s="47">
        <v>2024</v>
      </c>
      <c r="B82" s="47" t="s">
        <v>153</v>
      </c>
      <c r="C82" s="47" t="s">
        <v>3232</v>
      </c>
      <c r="D82" s="50" t="s">
        <v>717</v>
      </c>
      <c r="E82" s="47" t="s">
        <v>8981</v>
      </c>
      <c r="F82" s="49">
        <v>45007.956694641201</v>
      </c>
      <c r="G82" s="47" t="s">
        <v>8987</v>
      </c>
      <c r="H82" s="47">
        <v>0</v>
      </c>
      <c r="I82" s="57">
        <v>36.6181865366012</v>
      </c>
      <c r="J82" s="57">
        <v>18</v>
      </c>
      <c r="K82" s="57">
        <v>4.99</v>
      </c>
      <c r="L82" s="57">
        <v>4.99</v>
      </c>
    </row>
    <row r="83" spans="1:12" ht="39.6">
      <c r="A83" s="44">
        <v>2024</v>
      </c>
      <c r="B83" s="44" t="s">
        <v>3311</v>
      </c>
      <c r="C83" s="44" t="s">
        <v>3312</v>
      </c>
      <c r="D83" s="46" t="s">
        <v>3313</v>
      </c>
      <c r="E83" s="44" t="s">
        <v>8986</v>
      </c>
      <c r="F83" s="51">
        <v>45084.792693483803</v>
      </c>
      <c r="G83" s="44" t="s">
        <v>8990</v>
      </c>
      <c r="H83" s="44">
        <v>16</v>
      </c>
      <c r="I83" s="56">
        <v>119.180207315476</v>
      </c>
      <c r="J83" s="56">
        <v>18</v>
      </c>
      <c r="K83" s="56">
        <v>0</v>
      </c>
      <c r="L83" s="56">
        <v>0</v>
      </c>
    </row>
    <row r="84" spans="1:12" ht="26.45">
      <c r="A84" s="47">
        <v>2024</v>
      </c>
      <c r="B84" s="47" t="s">
        <v>724</v>
      </c>
      <c r="C84" s="47" t="s">
        <v>3334</v>
      </c>
      <c r="D84" s="50" t="s">
        <v>725</v>
      </c>
      <c r="E84" s="47" t="s">
        <v>8981</v>
      </c>
      <c r="F84" s="49">
        <v>45113.909815046303</v>
      </c>
      <c r="G84" s="47" t="s">
        <v>8984</v>
      </c>
      <c r="H84" s="47">
        <v>2</v>
      </c>
      <c r="I84" s="57">
        <v>54.804887156627103</v>
      </c>
      <c r="J84" s="57">
        <v>18</v>
      </c>
      <c r="K84" s="57">
        <v>0</v>
      </c>
      <c r="L84" s="57">
        <v>0</v>
      </c>
    </row>
    <row r="85" spans="1:12" ht="26.45">
      <c r="A85" s="44">
        <v>2024</v>
      </c>
      <c r="B85" s="44" t="s">
        <v>157</v>
      </c>
      <c r="C85" s="44" t="s">
        <v>3374</v>
      </c>
      <c r="D85" s="46" t="s">
        <v>727</v>
      </c>
      <c r="E85" s="44" t="s">
        <v>8981</v>
      </c>
      <c r="F85" s="51">
        <v>45043.980157141203</v>
      </c>
      <c r="G85" s="44" t="s">
        <v>8985</v>
      </c>
      <c r="H85" s="44">
        <v>0</v>
      </c>
      <c r="I85" s="56">
        <v>63.6238027560942</v>
      </c>
      <c r="J85" s="56">
        <v>18</v>
      </c>
      <c r="K85" s="56">
        <v>12</v>
      </c>
      <c r="L85" s="56">
        <v>8</v>
      </c>
    </row>
    <row r="86" spans="1:12" ht="26.45">
      <c r="A86" s="47">
        <v>2024</v>
      </c>
      <c r="B86" s="47" t="s">
        <v>728</v>
      </c>
      <c r="C86" s="47" t="s">
        <v>3382</v>
      </c>
      <c r="D86" s="50" t="s">
        <v>729</v>
      </c>
      <c r="E86" s="47" t="s">
        <v>8981</v>
      </c>
      <c r="F86" s="49">
        <v>45007.938522650496</v>
      </c>
      <c r="G86" s="47" t="s">
        <v>8987</v>
      </c>
      <c r="H86" s="47">
        <v>1</v>
      </c>
      <c r="I86" s="57">
        <v>11.895770204411701</v>
      </c>
      <c r="J86" s="57">
        <v>11.895770204411701</v>
      </c>
      <c r="K86" s="57">
        <v>12</v>
      </c>
      <c r="L86" s="57">
        <v>8</v>
      </c>
    </row>
    <row r="87" spans="1:12" ht="26.45">
      <c r="A87" s="44">
        <v>2024</v>
      </c>
      <c r="B87" s="44" t="s">
        <v>158</v>
      </c>
      <c r="C87" s="44" t="s">
        <v>3447</v>
      </c>
      <c r="D87" s="46" t="s">
        <v>734</v>
      </c>
      <c r="E87" s="44" t="s">
        <v>8981</v>
      </c>
      <c r="F87" s="51">
        <v>45048.6919787847</v>
      </c>
      <c r="G87" s="44" t="s">
        <v>8990</v>
      </c>
      <c r="H87" s="44">
        <v>0</v>
      </c>
      <c r="I87" s="56">
        <v>29.286856723322401</v>
      </c>
      <c r="J87" s="56">
        <v>18</v>
      </c>
      <c r="K87" s="56">
        <v>3.07</v>
      </c>
      <c r="L87" s="56">
        <v>3.07</v>
      </c>
    </row>
    <row r="88" spans="1:12" ht="26.45">
      <c r="A88" s="47">
        <v>2024</v>
      </c>
      <c r="B88" s="47" t="s">
        <v>159</v>
      </c>
      <c r="C88" s="47" t="s">
        <v>3455</v>
      </c>
      <c r="D88" s="50" t="s">
        <v>735</v>
      </c>
      <c r="E88" s="47" t="s">
        <v>8981</v>
      </c>
      <c r="F88" s="49">
        <v>45134.889838425901</v>
      </c>
      <c r="G88" s="47" t="s">
        <v>8985</v>
      </c>
      <c r="H88" s="47">
        <v>0</v>
      </c>
      <c r="I88" s="57">
        <v>40.190048232108197</v>
      </c>
      <c r="J88" s="57">
        <v>18</v>
      </c>
      <c r="K88" s="57">
        <v>0</v>
      </c>
      <c r="L88" s="57">
        <v>0</v>
      </c>
    </row>
    <row r="89" spans="1:12" ht="26.45">
      <c r="A89" s="44">
        <v>2024</v>
      </c>
      <c r="B89" s="44" t="s">
        <v>162</v>
      </c>
      <c r="C89" s="44" t="s">
        <v>3480</v>
      </c>
      <c r="D89" s="46" t="s">
        <v>738</v>
      </c>
      <c r="E89" s="44" t="s">
        <v>8981</v>
      </c>
      <c r="F89" s="51">
        <v>45068.708744016199</v>
      </c>
      <c r="G89" s="44" t="s">
        <v>8984</v>
      </c>
      <c r="H89" s="44">
        <v>0</v>
      </c>
      <c r="I89" s="56">
        <v>35.035725292170198</v>
      </c>
      <c r="J89" s="56">
        <v>18</v>
      </c>
      <c r="K89" s="56">
        <v>4.84</v>
      </c>
      <c r="L89" s="56">
        <v>4.84</v>
      </c>
    </row>
    <row r="90" spans="1:12" ht="26.45">
      <c r="A90" s="47">
        <v>2024</v>
      </c>
      <c r="B90" s="47" t="s">
        <v>163</v>
      </c>
      <c r="C90" s="47" t="s">
        <v>3509</v>
      </c>
      <c r="D90" s="50" t="s">
        <v>745</v>
      </c>
      <c r="E90" s="47" t="s">
        <v>8981</v>
      </c>
      <c r="F90" s="49">
        <v>45034.825249502297</v>
      </c>
      <c r="G90" s="47" t="s">
        <v>8988</v>
      </c>
      <c r="H90" s="47">
        <v>5</v>
      </c>
      <c r="I90" s="57">
        <v>15.810817495328299</v>
      </c>
      <c r="J90" s="57">
        <v>15.810817495328299</v>
      </c>
      <c r="K90" s="57">
        <v>12</v>
      </c>
      <c r="L90" s="57">
        <v>8</v>
      </c>
    </row>
    <row r="91" spans="1:12" ht="26.45">
      <c r="A91" s="44">
        <v>2024</v>
      </c>
      <c r="B91" s="44" t="s">
        <v>165</v>
      </c>
      <c r="C91" s="44" t="s">
        <v>3542</v>
      </c>
      <c r="D91" s="46" t="s">
        <v>753</v>
      </c>
      <c r="E91" s="44" t="s">
        <v>8981</v>
      </c>
      <c r="F91" s="51">
        <v>45009.841153784699</v>
      </c>
      <c r="G91" s="44" t="s">
        <v>8990</v>
      </c>
      <c r="H91" s="44">
        <v>0</v>
      </c>
      <c r="I91" s="56">
        <v>31.265742638665898</v>
      </c>
      <c r="J91" s="56">
        <v>18</v>
      </c>
      <c r="K91" s="56">
        <v>0</v>
      </c>
      <c r="L91" s="56">
        <v>0</v>
      </c>
    </row>
    <row r="92" spans="1:12" ht="26.45">
      <c r="A92" s="47">
        <v>2024</v>
      </c>
      <c r="B92" s="47" t="s">
        <v>166</v>
      </c>
      <c r="C92" s="47" t="s">
        <v>3556</v>
      </c>
      <c r="D92" s="50" t="s">
        <v>754</v>
      </c>
      <c r="E92" s="47" t="s">
        <v>8981</v>
      </c>
      <c r="F92" s="49">
        <v>45020.657420057898</v>
      </c>
      <c r="G92" s="47" t="s">
        <v>8985</v>
      </c>
      <c r="H92" s="47">
        <v>14</v>
      </c>
      <c r="I92" s="57">
        <v>25.6559805468539</v>
      </c>
      <c r="J92" s="57">
        <v>18</v>
      </c>
      <c r="K92" s="57">
        <v>12</v>
      </c>
      <c r="L92" s="57">
        <v>8</v>
      </c>
    </row>
    <row r="93" spans="1:12" ht="26.45">
      <c r="A93" s="44">
        <v>2024</v>
      </c>
      <c r="B93" s="44" t="s">
        <v>168</v>
      </c>
      <c r="C93" s="44" t="s">
        <v>3590</v>
      </c>
      <c r="D93" s="46" t="s">
        <v>758</v>
      </c>
      <c r="E93" s="44" t="s">
        <v>8981</v>
      </c>
      <c r="F93" s="51">
        <v>45034.668208252297</v>
      </c>
      <c r="G93" s="44" t="s">
        <v>8985</v>
      </c>
      <c r="H93" s="44">
        <v>6</v>
      </c>
      <c r="I93" s="56">
        <v>39.885743708359101</v>
      </c>
      <c r="J93" s="56">
        <v>18</v>
      </c>
      <c r="K93" s="56">
        <v>12</v>
      </c>
      <c r="L93" s="56">
        <v>8</v>
      </c>
    </row>
    <row r="94" spans="1:12" ht="26.45">
      <c r="A94" s="47">
        <v>2024</v>
      </c>
      <c r="B94" s="47" t="s">
        <v>169</v>
      </c>
      <c r="C94" s="47" t="s">
        <v>3596</v>
      </c>
      <c r="D94" s="50" t="s">
        <v>761</v>
      </c>
      <c r="E94" s="47" t="s">
        <v>8981</v>
      </c>
      <c r="F94" s="49">
        <v>45030.784402696801</v>
      </c>
      <c r="G94" s="47" t="s">
        <v>8983</v>
      </c>
      <c r="H94" s="47">
        <v>1</v>
      </c>
      <c r="I94" s="57">
        <v>52.8986373478334</v>
      </c>
      <c r="J94" s="57">
        <v>18</v>
      </c>
      <c r="K94" s="57">
        <v>12</v>
      </c>
      <c r="L94" s="57">
        <v>8</v>
      </c>
    </row>
    <row r="95" spans="1:12" ht="39.6">
      <c r="A95" s="44">
        <v>2024</v>
      </c>
      <c r="B95" s="44" t="s">
        <v>170</v>
      </c>
      <c r="C95" s="44" t="s">
        <v>3610</v>
      </c>
      <c r="D95" s="46" t="s">
        <v>759</v>
      </c>
      <c r="E95" s="44" t="s">
        <v>8981</v>
      </c>
      <c r="F95" s="51">
        <v>45043.958523113397</v>
      </c>
      <c r="G95" s="44" t="s">
        <v>8983</v>
      </c>
      <c r="H95" s="44">
        <v>3</v>
      </c>
      <c r="I95" s="56">
        <v>43.6822127079433</v>
      </c>
      <c r="J95" s="56">
        <v>18</v>
      </c>
      <c r="K95" s="56">
        <v>12</v>
      </c>
      <c r="L95" s="56">
        <v>8</v>
      </c>
    </row>
    <row r="96" spans="1:12" ht="26.45">
      <c r="A96" s="47">
        <v>2024</v>
      </c>
      <c r="B96" s="47" t="s">
        <v>171</v>
      </c>
      <c r="C96" s="47" t="s">
        <v>3616</v>
      </c>
      <c r="D96" s="50" t="s">
        <v>760</v>
      </c>
      <c r="E96" s="47" t="s">
        <v>8981</v>
      </c>
      <c r="F96" s="49">
        <v>45047.877829166697</v>
      </c>
      <c r="G96" s="47" t="s">
        <v>8983</v>
      </c>
      <c r="H96" s="47">
        <v>0</v>
      </c>
      <c r="I96" s="57">
        <v>62.140106469506598</v>
      </c>
      <c r="J96" s="57">
        <v>18</v>
      </c>
      <c r="K96" s="57">
        <v>12</v>
      </c>
      <c r="L96" s="57">
        <v>8</v>
      </c>
    </row>
    <row r="97" spans="1:12" ht="39.6">
      <c r="A97" s="44">
        <v>2024</v>
      </c>
      <c r="B97" s="44" t="s">
        <v>762</v>
      </c>
      <c r="C97" s="44" t="s">
        <v>3623</v>
      </c>
      <c r="D97" s="46" t="s">
        <v>763</v>
      </c>
      <c r="E97" s="44" t="s">
        <v>8981</v>
      </c>
      <c r="F97" s="51">
        <v>45047.893834803202</v>
      </c>
      <c r="G97" s="44" t="s">
        <v>8983</v>
      </c>
      <c r="H97" s="44">
        <v>0</v>
      </c>
      <c r="I97" s="56">
        <v>41.117700204539403</v>
      </c>
      <c r="J97" s="56">
        <v>18</v>
      </c>
      <c r="K97" s="56">
        <v>12</v>
      </c>
      <c r="L97" s="56">
        <v>8</v>
      </c>
    </row>
    <row r="98" spans="1:12" ht="39.6">
      <c r="A98" s="47">
        <v>2024</v>
      </c>
      <c r="B98" s="47" t="s">
        <v>172</v>
      </c>
      <c r="C98" s="47" t="s">
        <v>3630</v>
      </c>
      <c r="D98" s="50" t="s">
        <v>764</v>
      </c>
      <c r="E98" s="47" t="s">
        <v>8981</v>
      </c>
      <c r="F98" s="49">
        <v>45034.749978125001</v>
      </c>
      <c r="G98" s="47" t="s">
        <v>8985</v>
      </c>
      <c r="H98" s="47">
        <v>0</v>
      </c>
      <c r="I98" s="57">
        <v>78.124608702345</v>
      </c>
      <c r="J98" s="57">
        <v>18</v>
      </c>
      <c r="K98" s="57">
        <v>12</v>
      </c>
      <c r="L98" s="57">
        <v>8</v>
      </c>
    </row>
    <row r="99" spans="1:12" ht="26.45">
      <c r="A99" s="44">
        <v>2024</v>
      </c>
      <c r="B99" s="44" t="s">
        <v>173</v>
      </c>
      <c r="C99" s="44" t="s">
        <v>3651</v>
      </c>
      <c r="D99" s="46" t="s">
        <v>767</v>
      </c>
      <c r="E99" s="44" t="s">
        <v>8981</v>
      </c>
      <c r="F99" s="51">
        <v>45041.936280868103</v>
      </c>
      <c r="G99" s="44" t="s">
        <v>8985</v>
      </c>
      <c r="H99" s="44">
        <v>1</v>
      </c>
      <c r="I99" s="56">
        <v>24.8495936567192</v>
      </c>
      <c r="J99" s="56">
        <v>18</v>
      </c>
      <c r="K99" s="56">
        <v>4.96</v>
      </c>
      <c r="L99" s="56">
        <v>4.96</v>
      </c>
    </row>
    <row r="100" spans="1:12" ht="26.45">
      <c r="A100" s="47">
        <v>2024</v>
      </c>
      <c r="B100" s="47" t="s">
        <v>181</v>
      </c>
      <c r="C100" s="47" t="s">
        <v>3744</v>
      </c>
      <c r="D100" s="50" t="s">
        <v>777</v>
      </c>
      <c r="E100" s="47" t="s">
        <v>8981</v>
      </c>
      <c r="F100" s="49">
        <v>45005.809971793999</v>
      </c>
      <c r="G100" s="47" t="s">
        <v>8989</v>
      </c>
      <c r="H100" s="47">
        <v>14</v>
      </c>
      <c r="I100" s="57">
        <v>32.638768579633201</v>
      </c>
      <c r="J100" s="57">
        <v>18</v>
      </c>
      <c r="K100" s="57">
        <v>7.16</v>
      </c>
      <c r="L100" s="57">
        <v>7.16</v>
      </c>
    </row>
    <row r="101" spans="1:12" ht="26.45">
      <c r="A101" s="44">
        <v>2024</v>
      </c>
      <c r="B101" s="44" t="s">
        <v>183</v>
      </c>
      <c r="C101" s="44" t="s">
        <v>3765</v>
      </c>
      <c r="D101" s="46" t="s">
        <v>779</v>
      </c>
      <c r="E101" s="44" t="s">
        <v>8981</v>
      </c>
      <c r="F101" s="51">
        <v>45036.010064317103</v>
      </c>
      <c r="G101" s="44" t="s">
        <v>8985</v>
      </c>
      <c r="H101" s="44">
        <v>2</v>
      </c>
      <c r="I101" s="56">
        <v>22.992896274708801</v>
      </c>
      <c r="J101" s="56">
        <v>18</v>
      </c>
      <c r="K101" s="56">
        <v>2.1800000000000002</v>
      </c>
      <c r="L101" s="56">
        <v>2.1800000000000002</v>
      </c>
    </row>
    <row r="102" spans="1:12" ht="26.45">
      <c r="A102" s="47">
        <v>2024</v>
      </c>
      <c r="B102" s="47" t="s">
        <v>185</v>
      </c>
      <c r="C102" s="47" t="s">
        <v>3791</v>
      </c>
      <c r="D102" s="50" t="s">
        <v>781</v>
      </c>
      <c r="E102" s="47" t="s">
        <v>8981</v>
      </c>
      <c r="F102" s="49">
        <v>45015.904220335702</v>
      </c>
      <c r="G102" s="47" t="s">
        <v>8985</v>
      </c>
      <c r="H102" s="47">
        <v>0</v>
      </c>
      <c r="I102" s="57">
        <v>0</v>
      </c>
      <c r="J102" s="57">
        <v>0</v>
      </c>
      <c r="K102" s="57">
        <v>12</v>
      </c>
      <c r="L102" s="57">
        <v>8</v>
      </c>
    </row>
    <row r="103" spans="1:12" ht="26.45">
      <c r="A103" s="44">
        <v>2024</v>
      </c>
      <c r="B103" s="44" t="s">
        <v>186</v>
      </c>
      <c r="C103" s="44" t="s">
        <v>3797</v>
      </c>
      <c r="D103" s="46" t="s">
        <v>782</v>
      </c>
      <c r="E103" s="44" t="s">
        <v>8981</v>
      </c>
      <c r="F103" s="51">
        <v>45014.915987581</v>
      </c>
      <c r="G103" s="44" t="s">
        <v>8985</v>
      </c>
      <c r="H103" s="44">
        <v>2</v>
      </c>
      <c r="I103" s="56">
        <v>0</v>
      </c>
      <c r="J103" s="56">
        <v>0</v>
      </c>
      <c r="K103" s="56">
        <v>12</v>
      </c>
      <c r="L103" s="56">
        <v>8</v>
      </c>
    </row>
    <row r="104" spans="1:12" ht="26.45">
      <c r="A104" s="47">
        <v>2024</v>
      </c>
      <c r="B104" s="47" t="s">
        <v>187</v>
      </c>
      <c r="C104" s="47" t="s">
        <v>3808</v>
      </c>
      <c r="D104" s="50" t="s">
        <v>783</v>
      </c>
      <c r="E104" s="47" t="s">
        <v>8981</v>
      </c>
      <c r="F104" s="49">
        <v>45015.892627627298</v>
      </c>
      <c r="G104" s="47" t="s">
        <v>8985</v>
      </c>
      <c r="H104" s="47">
        <v>0</v>
      </c>
      <c r="I104" s="57">
        <v>0</v>
      </c>
      <c r="J104" s="57">
        <v>0</v>
      </c>
      <c r="K104" s="57">
        <v>12</v>
      </c>
      <c r="L104" s="57">
        <v>8</v>
      </c>
    </row>
    <row r="105" spans="1:12" ht="26.45">
      <c r="A105" s="44">
        <v>2024</v>
      </c>
      <c r="B105" s="44" t="s">
        <v>786</v>
      </c>
      <c r="C105" s="44" t="s">
        <v>3858</v>
      </c>
      <c r="D105" s="46" t="s">
        <v>787</v>
      </c>
      <c r="E105" s="44" t="s">
        <v>8981</v>
      </c>
      <c r="F105" s="51">
        <v>45057.783488969901</v>
      </c>
      <c r="G105" s="44" t="s">
        <v>8984</v>
      </c>
      <c r="H105" s="44">
        <v>1</v>
      </c>
      <c r="I105" s="56">
        <v>0</v>
      </c>
      <c r="J105" s="56">
        <v>0</v>
      </c>
      <c r="K105" s="56">
        <v>12</v>
      </c>
      <c r="L105" s="56">
        <v>8</v>
      </c>
    </row>
    <row r="106" spans="1:12" ht="26.45">
      <c r="A106" s="47">
        <v>2024</v>
      </c>
      <c r="B106" s="47" t="s">
        <v>801</v>
      </c>
      <c r="C106" s="47" t="s">
        <v>3964</v>
      </c>
      <c r="D106" s="50" t="s">
        <v>802</v>
      </c>
      <c r="E106" s="47" t="s">
        <v>8981</v>
      </c>
      <c r="F106" s="49">
        <v>45135.624594294</v>
      </c>
      <c r="G106" s="47" t="s">
        <v>8985</v>
      </c>
      <c r="H106" s="47">
        <v>7</v>
      </c>
      <c r="I106" s="57">
        <v>73.392355198325305</v>
      </c>
      <c r="J106" s="57">
        <v>18</v>
      </c>
      <c r="K106" s="57">
        <v>12</v>
      </c>
      <c r="L106" s="57">
        <v>8</v>
      </c>
    </row>
    <row r="107" spans="1:12" ht="26.45">
      <c r="A107" s="44">
        <v>2024</v>
      </c>
      <c r="B107" s="44" t="s">
        <v>202</v>
      </c>
      <c r="C107" s="44" t="s">
        <v>4020</v>
      </c>
      <c r="D107" s="46" t="s">
        <v>804</v>
      </c>
      <c r="E107" s="44" t="s">
        <v>8981</v>
      </c>
      <c r="F107" s="51">
        <v>45069.862708217603</v>
      </c>
      <c r="G107" s="44" t="s">
        <v>8984</v>
      </c>
      <c r="H107" s="44">
        <v>0</v>
      </c>
      <c r="I107" s="56">
        <v>43.884584832992701</v>
      </c>
      <c r="J107" s="56">
        <v>18</v>
      </c>
      <c r="K107" s="56">
        <v>12</v>
      </c>
      <c r="L107" s="56">
        <v>8</v>
      </c>
    </row>
    <row r="108" spans="1:12" ht="26.45">
      <c r="A108" s="47">
        <v>2024</v>
      </c>
      <c r="B108" s="47" t="s">
        <v>203</v>
      </c>
      <c r="C108" s="47" t="s">
        <v>4046</v>
      </c>
      <c r="D108" s="50" t="s">
        <v>805</v>
      </c>
      <c r="E108" s="47" t="s">
        <v>8981</v>
      </c>
      <c r="F108" s="49">
        <v>45084.898462847203</v>
      </c>
      <c r="G108" s="47" t="s">
        <v>8985</v>
      </c>
      <c r="H108" s="47">
        <v>1</v>
      </c>
      <c r="I108" s="57">
        <v>39.173248315657503</v>
      </c>
      <c r="J108" s="57">
        <v>18</v>
      </c>
      <c r="K108" s="57">
        <v>12</v>
      </c>
      <c r="L108" s="57">
        <v>8</v>
      </c>
    </row>
    <row r="109" spans="1:12" ht="26.45">
      <c r="A109" s="44">
        <v>2024</v>
      </c>
      <c r="B109" s="44" t="s">
        <v>810</v>
      </c>
      <c r="C109" s="44" t="s">
        <v>4084</v>
      </c>
      <c r="D109" s="46" t="s">
        <v>811</v>
      </c>
      <c r="E109" s="44" t="s">
        <v>8981</v>
      </c>
      <c r="F109" s="51">
        <v>45015.9098611921</v>
      </c>
      <c r="G109" s="44" t="s">
        <v>8985</v>
      </c>
      <c r="H109" s="44">
        <v>33</v>
      </c>
      <c r="I109" s="56">
        <v>64.105383354776095</v>
      </c>
      <c r="J109" s="56">
        <v>18</v>
      </c>
      <c r="K109" s="56">
        <v>12</v>
      </c>
      <c r="L109" s="56">
        <v>8</v>
      </c>
    </row>
    <row r="110" spans="1:12" ht="26.45">
      <c r="A110" s="47">
        <v>2024</v>
      </c>
      <c r="B110" s="47" t="s">
        <v>4090</v>
      </c>
      <c r="C110" s="47" t="s">
        <v>4091</v>
      </c>
      <c r="D110" s="50" t="s">
        <v>4092</v>
      </c>
      <c r="E110" s="47" t="s">
        <v>8991</v>
      </c>
      <c r="F110" s="49">
        <v>45168.685472106503</v>
      </c>
      <c r="G110" s="47" t="s">
        <v>8992</v>
      </c>
      <c r="H110" s="47"/>
      <c r="I110" s="57">
        <v>0</v>
      </c>
      <c r="J110" s="57">
        <v>0</v>
      </c>
      <c r="K110" s="57">
        <v>0</v>
      </c>
      <c r="L110" s="57">
        <v>0</v>
      </c>
    </row>
    <row r="111" spans="1:12" ht="26.45">
      <c r="A111" s="44">
        <v>2024</v>
      </c>
      <c r="B111" s="44" t="s">
        <v>207</v>
      </c>
      <c r="C111" s="44" t="s">
        <v>4154</v>
      </c>
      <c r="D111" s="46" t="s">
        <v>814</v>
      </c>
      <c r="E111" s="44" t="s">
        <v>8981</v>
      </c>
      <c r="F111" s="51">
        <v>45050.842773298602</v>
      </c>
      <c r="G111" s="44" t="s">
        <v>8985</v>
      </c>
      <c r="H111" s="44">
        <v>0</v>
      </c>
      <c r="I111" s="56">
        <v>54.9889640744262</v>
      </c>
      <c r="J111" s="56">
        <v>18</v>
      </c>
      <c r="K111" s="56">
        <v>12</v>
      </c>
      <c r="L111" s="56">
        <v>8</v>
      </c>
    </row>
    <row r="112" spans="1:12" ht="39.6">
      <c r="A112" s="47">
        <v>2024</v>
      </c>
      <c r="B112" s="47" t="s">
        <v>209</v>
      </c>
      <c r="C112" s="47" t="s">
        <v>4182</v>
      </c>
      <c r="D112" s="50" t="s">
        <v>818</v>
      </c>
      <c r="E112" s="47" t="s">
        <v>8986</v>
      </c>
      <c r="F112" s="49">
        <v>45034.747967280098</v>
      </c>
      <c r="G112" s="47" t="s">
        <v>8984</v>
      </c>
      <c r="H112" s="47">
        <v>25</v>
      </c>
      <c r="I112" s="57">
        <v>62.828087493745997</v>
      </c>
      <c r="J112" s="57">
        <v>18</v>
      </c>
      <c r="K112" s="57">
        <v>0</v>
      </c>
      <c r="L112" s="57">
        <v>0</v>
      </c>
    </row>
    <row r="113" spans="1:12" ht="26.45">
      <c r="A113" s="44">
        <v>2024</v>
      </c>
      <c r="B113" s="44" t="s">
        <v>210</v>
      </c>
      <c r="C113" s="44" t="s">
        <v>4189</v>
      </c>
      <c r="D113" s="46" t="s">
        <v>819</v>
      </c>
      <c r="E113" s="44" t="s">
        <v>8981</v>
      </c>
      <c r="F113" s="51">
        <v>45034.775904317103</v>
      </c>
      <c r="G113" s="44" t="s">
        <v>8984</v>
      </c>
      <c r="H113" s="44">
        <v>22</v>
      </c>
      <c r="I113" s="56">
        <v>23.957596918391602</v>
      </c>
      <c r="J113" s="56">
        <v>18</v>
      </c>
      <c r="K113" s="56">
        <v>0</v>
      </c>
      <c r="L113" s="56">
        <v>0</v>
      </c>
    </row>
    <row r="114" spans="1:12" ht="26.45">
      <c r="A114" s="47">
        <v>2024</v>
      </c>
      <c r="B114" s="47" t="s">
        <v>211</v>
      </c>
      <c r="C114" s="47" t="s">
        <v>4196</v>
      </c>
      <c r="D114" s="50" t="s">
        <v>820</v>
      </c>
      <c r="E114" s="47" t="s">
        <v>8981</v>
      </c>
      <c r="F114" s="49">
        <v>45257.753211192103</v>
      </c>
      <c r="G114" s="47" t="s">
        <v>8984</v>
      </c>
      <c r="H114" s="47">
        <v>0</v>
      </c>
      <c r="I114" s="57">
        <v>30.8170246548931</v>
      </c>
      <c r="J114" s="57">
        <v>18</v>
      </c>
      <c r="K114" s="57">
        <v>2.78</v>
      </c>
      <c r="L114" s="57">
        <v>2.78</v>
      </c>
    </row>
    <row r="115" spans="1:12" ht="26.45">
      <c r="A115" s="44">
        <v>2024</v>
      </c>
      <c r="B115" s="44" t="s">
        <v>212</v>
      </c>
      <c r="C115" s="44" t="s">
        <v>4204</v>
      </c>
      <c r="D115" s="46" t="s">
        <v>821</v>
      </c>
      <c r="E115" s="44" t="s">
        <v>8981</v>
      </c>
      <c r="F115" s="51">
        <v>45002.751044942102</v>
      </c>
      <c r="G115" s="44" t="s">
        <v>8983</v>
      </c>
      <c r="H115" s="44">
        <v>2</v>
      </c>
      <c r="I115" s="56">
        <v>26.551532947881402</v>
      </c>
      <c r="J115" s="56">
        <v>18</v>
      </c>
      <c r="K115" s="56">
        <v>5.47</v>
      </c>
      <c r="L115" s="56">
        <v>5.47</v>
      </c>
    </row>
    <row r="116" spans="1:12" ht="26.45">
      <c r="A116" s="47">
        <v>2024</v>
      </c>
      <c r="B116" s="47" t="s">
        <v>214</v>
      </c>
      <c r="C116" s="47" t="s">
        <v>4240</v>
      </c>
      <c r="D116" s="50" t="s">
        <v>823</v>
      </c>
      <c r="E116" s="47" t="s">
        <v>8981</v>
      </c>
      <c r="F116" s="49">
        <v>45169.884720601898</v>
      </c>
      <c r="G116" s="47" t="s">
        <v>8984</v>
      </c>
      <c r="H116" s="47">
        <v>21</v>
      </c>
      <c r="I116" s="57">
        <v>705.19254257147998</v>
      </c>
      <c r="J116" s="57">
        <v>18</v>
      </c>
      <c r="K116" s="57">
        <v>7.1</v>
      </c>
      <c r="L116" s="57">
        <v>7.1</v>
      </c>
    </row>
    <row r="117" spans="1:12" ht="26.45">
      <c r="A117" s="44">
        <v>2024</v>
      </c>
      <c r="B117" s="44" t="s">
        <v>215</v>
      </c>
      <c r="C117" s="44" t="s">
        <v>4265</v>
      </c>
      <c r="D117" s="46" t="s">
        <v>824</v>
      </c>
      <c r="E117" s="44" t="s">
        <v>8981</v>
      </c>
      <c r="F117" s="51">
        <v>45083.592623032397</v>
      </c>
      <c r="G117" s="44" t="s">
        <v>8985</v>
      </c>
      <c r="H117" s="44">
        <v>7</v>
      </c>
      <c r="I117" s="56">
        <v>6.9429677765066602</v>
      </c>
      <c r="J117" s="56">
        <v>6.9429677765066602</v>
      </c>
      <c r="K117" s="56">
        <v>7.48</v>
      </c>
      <c r="L117" s="56">
        <v>7.48</v>
      </c>
    </row>
    <row r="118" spans="1:12" ht="26.45">
      <c r="A118" s="47">
        <v>2024</v>
      </c>
      <c r="B118" s="47" t="s">
        <v>216</v>
      </c>
      <c r="C118" s="47" t="s">
        <v>4273</v>
      </c>
      <c r="D118" s="50" t="s">
        <v>825</v>
      </c>
      <c r="E118" s="47" t="s">
        <v>8981</v>
      </c>
      <c r="F118" s="49">
        <v>45190.909997997704</v>
      </c>
      <c r="G118" s="47" t="s">
        <v>8985</v>
      </c>
      <c r="H118" s="47">
        <v>1</v>
      </c>
      <c r="I118" s="57">
        <v>24.5916968465582</v>
      </c>
      <c r="J118" s="57">
        <v>18</v>
      </c>
      <c r="K118" s="57">
        <v>5.03</v>
      </c>
      <c r="L118" s="57">
        <v>5.03</v>
      </c>
    </row>
    <row r="119" spans="1:12" ht="39.6">
      <c r="A119" s="44">
        <v>2024</v>
      </c>
      <c r="B119" s="44" t="s">
        <v>219</v>
      </c>
      <c r="C119" s="44" t="s">
        <v>4297</v>
      </c>
      <c r="D119" s="46" t="s">
        <v>827</v>
      </c>
      <c r="E119" s="44" t="s">
        <v>8986</v>
      </c>
      <c r="F119" s="51">
        <v>45104.691580555598</v>
      </c>
      <c r="G119" s="44" t="s">
        <v>8984</v>
      </c>
      <c r="H119" s="44">
        <v>7</v>
      </c>
      <c r="I119" s="56">
        <v>40.690983883593603</v>
      </c>
      <c r="J119" s="56">
        <v>18</v>
      </c>
      <c r="K119" s="56">
        <v>8.44</v>
      </c>
      <c r="L119" s="56">
        <v>8</v>
      </c>
    </row>
    <row r="120" spans="1:12" ht="26.45">
      <c r="A120" s="47">
        <v>2024</v>
      </c>
      <c r="B120" s="47" t="s">
        <v>829</v>
      </c>
      <c r="C120" s="47" t="s">
        <v>4312</v>
      </c>
      <c r="D120" s="50" t="s">
        <v>830</v>
      </c>
      <c r="E120" s="47" t="s">
        <v>8981</v>
      </c>
      <c r="F120" s="49">
        <v>45070.586213923598</v>
      </c>
      <c r="G120" s="47" t="s">
        <v>8985</v>
      </c>
      <c r="H120" s="47">
        <v>1</v>
      </c>
      <c r="I120" s="57">
        <v>19.931934493770001</v>
      </c>
      <c r="J120" s="57">
        <v>18</v>
      </c>
      <c r="K120" s="57">
        <v>0</v>
      </c>
      <c r="L120" s="57">
        <v>0</v>
      </c>
    </row>
    <row r="121" spans="1:12" ht="26.45">
      <c r="A121" s="44">
        <v>2024</v>
      </c>
      <c r="B121" s="44" t="s">
        <v>4319</v>
      </c>
      <c r="C121" s="44" t="s">
        <v>4320</v>
      </c>
      <c r="D121" s="46" t="s">
        <v>4321</v>
      </c>
      <c r="E121" s="44" t="s">
        <v>8981</v>
      </c>
      <c r="F121" s="51">
        <v>45048.692733993099</v>
      </c>
      <c r="G121" s="44" t="s">
        <v>8985</v>
      </c>
      <c r="H121" s="44">
        <v>1</v>
      </c>
      <c r="I121" s="56">
        <v>53.183527310629501</v>
      </c>
      <c r="J121" s="56">
        <v>18</v>
      </c>
      <c r="K121" s="56">
        <v>12</v>
      </c>
      <c r="L121" s="56">
        <v>8</v>
      </c>
    </row>
    <row r="122" spans="1:12" ht="26.45">
      <c r="A122" s="47">
        <v>2024</v>
      </c>
      <c r="B122" s="47" t="s">
        <v>221</v>
      </c>
      <c r="C122" s="47" t="s">
        <v>4327</v>
      </c>
      <c r="D122" s="50" t="s">
        <v>831</v>
      </c>
      <c r="E122" s="47" t="s">
        <v>8981</v>
      </c>
      <c r="F122" s="49">
        <v>45048.976222418998</v>
      </c>
      <c r="G122" s="47" t="s">
        <v>8985</v>
      </c>
      <c r="H122" s="47">
        <v>1</v>
      </c>
      <c r="I122" s="57">
        <v>31.147126149442201</v>
      </c>
      <c r="J122" s="57">
        <v>18</v>
      </c>
      <c r="K122" s="57">
        <v>12</v>
      </c>
      <c r="L122" s="57">
        <v>8</v>
      </c>
    </row>
    <row r="123" spans="1:12" ht="26.45">
      <c r="A123" s="44">
        <v>2024</v>
      </c>
      <c r="B123" s="44" t="s">
        <v>222</v>
      </c>
      <c r="C123" s="44" t="s">
        <v>4340</v>
      </c>
      <c r="D123" s="46" t="s">
        <v>832</v>
      </c>
      <c r="E123" s="44" t="s">
        <v>8981</v>
      </c>
      <c r="F123" s="51">
        <v>45036.906975266204</v>
      </c>
      <c r="G123" s="44" t="s">
        <v>8990</v>
      </c>
      <c r="H123" s="44">
        <v>1</v>
      </c>
      <c r="I123" s="56">
        <v>28.9984568127636</v>
      </c>
      <c r="J123" s="56">
        <v>18</v>
      </c>
      <c r="K123" s="56">
        <v>4.22</v>
      </c>
      <c r="L123" s="56">
        <v>4.22</v>
      </c>
    </row>
    <row r="124" spans="1:12" ht="26.45">
      <c r="A124" s="47">
        <v>2024</v>
      </c>
      <c r="B124" s="47" t="s">
        <v>223</v>
      </c>
      <c r="C124" s="47" t="s">
        <v>4349</v>
      </c>
      <c r="D124" s="50" t="s">
        <v>833</v>
      </c>
      <c r="E124" s="47" t="s">
        <v>8981</v>
      </c>
      <c r="F124" s="49">
        <v>45322.963923807903</v>
      </c>
      <c r="G124" s="47" t="s">
        <v>8990</v>
      </c>
      <c r="H124" s="47">
        <v>0</v>
      </c>
      <c r="I124" s="57">
        <v>56.965054198919503</v>
      </c>
      <c r="J124" s="57">
        <v>18</v>
      </c>
      <c r="K124" s="57">
        <v>12</v>
      </c>
      <c r="L124" s="57">
        <v>8</v>
      </c>
    </row>
    <row r="125" spans="1:12" ht="26.45">
      <c r="A125" s="44">
        <v>2024</v>
      </c>
      <c r="B125" s="44" t="s">
        <v>226</v>
      </c>
      <c r="C125" s="44" t="s">
        <v>4395</v>
      </c>
      <c r="D125" s="46" t="s">
        <v>838</v>
      </c>
      <c r="E125" s="44" t="s">
        <v>8981</v>
      </c>
      <c r="F125" s="51">
        <v>45309.668308414402</v>
      </c>
      <c r="G125" s="44" t="s">
        <v>8983</v>
      </c>
      <c r="H125" s="44">
        <v>1</v>
      </c>
      <c r="I125" s="56">
        <v>78.117083180754094</v>
      </c>
      <c r="J125" s="56">
        <v>18</v>
      </c>
      <c r="K125" s="56">
        <v>12</v>
      </c>
      <c r="L125" s="56">
        <v>8</v>
      </c>
    </row>
    <row r="126" spans="1:12" ht="26.45">
      <c r="A126" s="47">
        <v>2024</v>
      </c>
      <c r="B126" s="47" t="s">
        <v>227</v>
      </c>
      <c r="C126" s="47" t="s">
        <v>4451</v>
      </c>
      <c r="D126" s="50" t="s">
        <v>843</v>
      </c>
      <c r="E126" s="47" t="s">
        <v>8981</v>
      </c>
      <c r="F126" s="49">
        <v>45041.932084062501</v>
      </c>
      <c r="G126" s="47" t="s">
        <v>8985</v>
      </c>
      <c r="H126" s="47">
        <v>21</v>
      </c>
      <c r="I126" s="57">
        <v>23.471791299398401</v>
      </c>
      <c r="J126" s="57">
        <v>18</v>
      </c>
      <c r="K126" s="57">
        <v>3.43</v>
      </c>
      <c r="L126" s="57">
        <v>3.43</v>
      </c>
    </row>
    <row r="127" spans="1:12" ht="26.45">
      <c r="A127" s="44">
        <v>2024</v>
      </c>
      <c r="B127" s="44" t="s">
        <v>228</v>
      </c>
      <c r="C127" s="44" t="s">
        <v>4458</v>
      </c>
      <c r="D127" s="46" t="s">
        <v>844</v>
      </c>
      <c r="E127" s="44" t="s">
        <v>8981</v>
      </c>
      <c r="F127" s="51">
        <v>45204.675646608797</v>
      </c>
      <c r="G127" s="44" t="s">
        <v>8984</v>
      </c>
      <c r="H127" s="44">
        <v>16</v>
      </c>
      <c r="I127" s="56">
        <v>0</v>
      </c>
      <c r="J127" s="56">
        <v>0</v>
      </c>
      <c r="K127" s="56">
        <v>0</v>
      </c>
      <c r="L127" s="56">
        <v>0</v>
      </c>
    </row>
    <row r="128" spans="1:12" ht="26.45">
      <c r="A128" s="47">
        <v>2024</v>
      </c>
      <c r="B128" s="47" t="s">
        <v>229</v>
      </c>
      <c r="C128" s="47" t="s">
        <v>4464</v>
      </c>
      <c r="D128" s="50" t="s">
        <v>845</v>
      </c>
      <c r="E128" s="47" t="s">
        <v>8981</v>
      </c>
      <c r="F128" s="49">
        <v>45078.819855555601</v>
      </c>
      <c r="G128" s="47" t="s">
        <v>8985</v>
      </c>
      <c r="H128" s="47">
        <v>0</v>
      </c>
      <c r="I128" s="57">
        <v>34.393552352447799</v>
      </c>
      <c r="J128" s="57">
        <v>18</v>
      </c>
      <c r="K128" s="57">
        <v>12</v>
      </c>
      <c r="L128" s="57">
        <v>8</v>
      </c>
    </row>
    <row r="129" spans="1:12" ht="26.45">
      <c r="A129" s="44">
        <v>2024</v>
      </c>
      <c r="B129" s="44" t="s">
        <v>846</v>
      </c>
      <c r="C129" s="44" t="s">
        <v>4471</v>
      </c>
      <c r="D129" s="46" t="s">
        <v>847</v>
      </c>
      <c r="E129" s="44" t="s">
        <v>8981</v>
      </c>
      <c r="F129" s="51">
        <v>45056.877105057902</v>
      </c>
      <c r="G129" s="44" t="s">
        <v>8985</v>
      </c>
      <c r="H129" s="44">
        <v>0</v>
      </c>
      <c r="I129" s="56">
        <v>53.167795733211399</v>
      </c>
      <c r="J129" s="56">
        <v>18</v>
      </c>
      <c r="K129" s="56">
        <v>12</v>
      </c>
      <c r="L129" s="56">
        <v>8</v>
      </c>
    </row>
    <row r="130" spans="1:12" ht="26.45">
      <c r="A130" s="47">
        <v>2024</v>
      </c>
      <c r="B130" s="47" t="s">
        <v>230</v>
      </c>
      <c r="C130" s="47" t="s">
        <v>4475</v>
      </c>
      <c r="D130" s="50" t="s">
        <v>848</v>
      </c>
      <c r="E130" s="47" t="s">
        <v>8981</v>
      </c>
      <c r="F130" s="49">
        <v>45020.646126041698</v>
      </c>
      <c r="G130" s="47" t="s">
        <v>8985</v>
      </c>
      <c r="H130" s="47">
        <v>15</v>
      </c>
      <c r="I130" s="57">
        <v>26.335566451650699</v>
      </c>
      <c r="J130" s="57">
        <v>18</v>
      </c>
      <c r="K130" s="57">
        <v>2.4</v>
      </c>
      <c r="L130" s="57">
        <v>2.4</v>
      </c>
    </row>
    <row r="131" spans="1:12" ht="26.45">
      <c r="A131" s="44">
        <v>2024</v>
      </c>
      <c r="B131" s="44" t="s">
        <v>231</v>
      </c>
      <c r="C131" s="44" t="s">
        <v>4497</v>
      </c>
      <c r="D131" s="46" t="s">
        <v>849</v>
      </c>
      <c r="E131" s="44" t="s">
        <v>8981</v>
      </c>
      <c r="F131" s="51">
        <v>45002.901683333301</v>
      </c>
      <c r="G131" s="44" t="s">
        <v>8990</v>
      </c>
      <c r="H131" s="44">
        <v>1</v>
      </c>
      <c r="I131" s="56">
        <v>39.697515325029599</v>
      </c>
      <c r="J131" s="56">
        <v>18</v>
      </c>
      <c r="K131" s="56">
        <v>10.91</v>
      </c>
      <c r="L131" s="56">
        <v>8</v>
      </c>
    </row>
    <row r="132" spans="1:12" ht="39.6">
      <c r="A132" s="47">
        <v>2024</v>
      </c>
      <c r="B132" s="47" t="s">
        <v>232</v>
      </c>
      <c r="C132" s="47" t="s">
        <v>4533</v>
      </c>
      <c r="D132" s="50" t="s">
        <v>852</v>
      </c>
      <c r="E132" s="47" t="s">
        <v>8986</v>
      </c>
      <c r="F132" s="49">
        <v>45349.728096840299</v>
      </c>
      <c r="G132" s="47" t="s">
        <v>8984</v>
      </c>
      <c r="H132" s="47">
        <v>0</v>
      </c>
      <c r="I132" s="57">
        <v>63.052676635908497</v>
      </c>
      <c r="J132" s="57">
        <v>18</v>
      </c>
      <c r="K132" s="57">
        <v>0</v>
      </c>
      <c r="L132" s="57">
        <v>0</v>
      </c>
    </row>
    <row r="133" spans="1:12" ht="26.45">
      <c r="A133" s="44">
        <v>2024</v>
      </c>
      <c r="B133" s="44" t="s">
        <v>234</v>
      </c>
      <c r="C133" s="44" t="s">
        <v>4605</v>
      </c>
      <c r="D133" s="46" t="s">
        <v>854</v>
      </c>
      <c r="E133" s="44" t="s">
        <v>8981</v>
      </c>
      <c r="F133" s="51">
        <v>45076.955278205998</v>
      </c>
      <c r="G133" s="44" t="s">
        <v>8983</v>
      </c>
      <c r="H133" s="44">
        <v>8</v>
      </c>
      <c r="I133" s="56">
        <v>17.5060072318274</v>
      </c>
      <c r="J133" s="56">
        <v>17.5060072318274</v>
      </c>
      <c r="K133" s="56">
        <v>0</v>
      </c>
      <c r="L133" s="56">
        <v>0</v>
      </c>
    </row>
    <row r="134" spans="1:12" ht="26.45">
      <c r="A134" s="47">
        <v>2024</v>
      </c>
      <c r="B134" s="47" t="s">
        <v>235</v>
      </c>
      <c r="C134" s="47" t="s">
        <v>4633</v>
      </c>
      <c r="D134" s="50" t="s">
        <v>857</v>
      </c>
      <c r="E134" s="47" t="s">
        <v>8981</v>
      </c>
      <c r="F134" s="49">
        <v>45042.838316898102</v>
      </c>
      <c r="G134" s="47" t="s">
        <v>8993</v>
      </c>
      <c r="H134" s="47">
        <v>2</v>
      </c>
      <c r="I134" s="57">
        <v>100.779028251241</v>
      </c>
      <c r="J134" s="57">
        <v>18</v>
      </c>
      <c r="K134" s="57">
        <v>12</v>
      </c>
      <c r="L134" s="57">
        <v>8</v>
      </c>
    </row>
    <row r="135" spans="1:12" ht="26.45">
      <c r="A135" s="44">
        <v>2024</v>
      </c>
      <c r="B135" s="44" t="s">
        <v>240</v>
      </c>
      <c r="C135" s="44" t="s">
        <v>4677</v>
      </c>
      <c r="D135" s="46" t="s">
        <v>862</v>
      </c>
      <c r="E135" s="44" t="s">
        <v>8981</v>
      </c>
      <c r="F135" s="51">
        <v>45007.676363043996</v>
      </c>
      <c r="G135" s="44" t="s">
        <v>8990</v>
      </c>
      <c r="H135" s="44">
        <v>0</v>
      </c>
      <c r="I135" s="56">
        <v>46.481284310533802</v>
      </c>
      <c r="J135" s="56">
        <v>18</v>
      </c>
      <c r="K135" s="56">
        <v>4.3600000000000003</v>
      </c>
      <c r="L135" s="56">
        <v>4.3600000000000003</v>
      </c>
    </row>
    <row r="136" spans="1:12" ht="26.45">
      <c r="A136" s="47">
        <v>2024</v>
      </c>
      <c r="B136" s="47" t="s">
        <v>241</v>
      </c>
      <c r="C136" s="47" t="s">
        <v>4685</v>
      </c>
      <c r="D136" s="50" t="s">
        <v>863</v>
      </c>
      <c r="E136" s="47" t="s">
        <v>8981</v>
      </c>
      <c r="F136" s="49">
        <v>45182.801534178201</v>
      </c>
      <c r="G136" s="47" t="s">
        <v>8993</v>
      </c>
      <c r="H136" s="47">
        <v>12</v>
      </c>
      <c r="I136" s="57">
        <v>0</v>
      </c>
      <c r="J136" s="57">
        <v>0</v>
      </c>
      <c r="K136" s="57">
        <v>0</v>
      </c>
      <c r="L136" s="57">
        <v>0</v>
      </c>
    </row>
    <row r="137" spans="1:12" ht="26.45">
      <c r="A137" s="44">
        <v>2024</v>
      </c>
      <c r="B137" s="44" t="s">
        <v>246</v>
      </c>
      <c r="C137" s="44" t="s">
        <v>4741</v>
      </c>
      <c r="D137" s="46" t="s">
        <v>872</v>
      </c>
      <c r="E137" s="44" t="s">
        <v>8981</v>
      </c>
      <c r="F137" s="51">
        <v>45139.894196527799</v>
      </c>
      <c r="G137" s="44" t="s">
        <v>8983</v>
      </c>
      <c r="H137" s="44">
        <v>5</v>
      </c>
      <c r="I137" s="56">
        <v>28.449155733481302</v>
      </c>
      <c r="J137" s="56">
        <v>18</v>
      </c>
      <c r="K137" s="56">
        <v>0</v>
      </c>
      <c r="L137" s="56">
        <v>0</v>
      </c>
    </row>
    <row r="138" spans="1:12" ht="26.45">
      <c r="A138" s="47">
        <v>2024</v>
      </c>
      <c r="B138" s="47" t="s">
        <v>247</v>
      </c>
      <c r="C138" s="47" t="s">
        <v>4754</v>
      </c>
      <c r="D138" s="50" t="s">
        <v>875</v>
      </c>
      <c r="E138" s="47" t="s">
        <v>8981</v>
      </c>
      <c r="F138" s="49">
        <v>45033.8500124653</v>
      </c>
      <c r="G138" s="47" t="s">
        <v>8993</v>
      </c>
      <c r="H138" s="47">
        <v>0</v>
      </c>
      <c r="I138" s="57">
        <v>4.6251327145004097</v>
      </c>
      <c r="J138" s="57">
        <v>4.6251327145004097</v>
      </c>
      <c r="K138" s="57">
        <v>12</v>
      </c>
      <c r="L138" s="57">
        <v>8</v>
      </c>
    </row>
    <row r="139" spans="1:12" ht="26.45">
      <c r="A139" s="44">
        <v>2024</v>
      </c>
      <c r="B139" s="44" t="s">
        <v>250</v>
      </c>
      <c r="C139" s="44" t="s">
        <v>4781</v>
      </c>
      <c r="D139" s="46" t="s">
        <v>878</v>
      </c>
      <c r="E139" s="44" t="s">
        <v>8981</v>
      </c>
      <c r="F139" s="51">
        <v>45002.903087696803</v>
      </c>
      <c r="G139" s="44" t="s">
        <v>8990</v>
      </c>
      <c r="H139" s="44">
        <v>18</v>
      </c>
      <c r="I139" s="56">
        <v>32.287574252692302</v>
      </c>
      <c r="J139" s="56">
        <v>18</v>
      </c>
      <c r="K139" s="56">
        <v>2.79</v>
      </c>
      <c r="L139" s="56">
        <v>2.79</v>
      </c>
    </row>
    <row r="140" spans="1:12" ht="26.45">
      <c r="A140" s="47">
        <v>2024</v>
      </c>
      <c r="B140" s="47" t="s">
        <v>252</v>
      </c>
      <c r="C140" s="47" t="s">
        <v>4827</v>
      </c>
      <c r="D140" s="50" t="s">
        <v>881</v>
      </c>
      <c r="E140" s="47" t="s">
        <v>8981</v>
      </c>
      <c r="F140" s="49">
        <v>45104.920751307902</v>
      </c>
      <c r="G140" s="47" t="s">
        <v>8983</v>
      </c>
      <c r="H140" s="47">
        <v>4</v>
      </c>
      <c r="I140" s="57">
        <v>25.030717319351599</v>
      </c>
      <c r="J140" s="57">
        <v>18</v>
      </c>
      <c r="K140" s="57">
        <v>4.2300000000000004</v>
      </c>
      <c r="L140" s="57">
        <v>4.2300000000000004</v>
      </c>
    </row>
    <row r="141" spans="1:12" ht="26.45">
      <c r="A141" s="44">
        <v>2024</v>
      </c>
      <c r="B141" s="44" t="s">
        <v>253</v>
      </c>
      <c r="C141" s="44" t="s">
        <v>4841</v>
      </c>
      <c r="D141" s="46" t="s">
        <v>882</v>
      </c>
      <c r="E141" s="44" t="s">
        <v>8981</v>
      </c>
      <c r="F141" s="51">
        <v>45154.790888310199</v>
      </c>
      <c r="G141" s="44" t="s">
        <v>8990</v>
      </c>
      <c r="H141" s="44">
        <v>0</v>
      </c>
      <c r="I141" s="56">
        <v>53.5345521215663</v>
      </c>
      <c r="J141" s="56">
        <v>18</v>
      </c>
      <c r="K141" s="56">
        <v>0</v>
      </c>
      <c r="L141" s="56">
        <v>0</v>
      </c>
    </row>
    <row r="142" spans="1:12" ht="39.6">
      <c r="A142" s="47">
        <v>2024</v>
      </c>
      <c r="B142" s="47" t="s">
        <v>906</v>
      </c>
      <c r="C142" s="47" t="s">
        <v>4969</v>
      </c>
      <c r="D142" s="50" t="s">
        <v>907</v>
      </c>
      <c r="E142" s="47" t="s">
        <v>8986</v>
      </c>
      <c r="F142" s="49">
        <v>45064.994453437503</v>
      </c>
      <c r="G142" s="47" t="s">
        <v>8983</v>
      </c>
      <c r="H142" s="47">
        <v>6</v>
      </c>
      <c r="I142" s="57">
        <v>55.048451410799302</v>
      </c>
      <c r="J142" s="57">
        <v>18</v>
      </c>
      <c r="K142" s="57">
        <v>0</v>
      </c>
      <c r="L142" s="57">
        <v>0</v>
      </c>
    </row>
    <row r="143" spans="1:12" ht="39.6">
      <c r="A143" s="44">
        <v>2024</v>
      </c>
      <c r="B143" s="44" t="s">
        <v>5001</v>
      </c>
      <c r="C143" s="44" t="s">
        <v>5002</v>
      </c>
      <c r="D143" s="46" t="s">
        <v>5003</v>
      </c>
      <c r="E143" s="44" t="s">
        <v>8986</v>
      </c>
      <c r="F143" s="51">
        <v>45001.984829710702</v>
      </c>
      <c r="G143" s="44" t="s">
        <v>8993</v>
      </c>
      <c r="H143" s="44">
        <v>15</v>
      </c>
      <c r="I143" s="56">
        <v>0</v>
      </c>
      <c r="J143" s="56">
        <v>0</v>
      </c>
      <c r="K143" s="56">
        <v>0</v>
      </c>
      <c r="L143" s="56">
        <v>0</v>
      </c>
    </row>
    <row r="144" spans="1:12" ht="26.45">
      <c r="A144" s="47">
        <v>2024</v>
      </c>
      <c r="B144" s="47" t="s">
        <v>260</v>
      </c>
      <c r="C144" s="47" t="s">
        <v>5022</v>
      </c>
      <c r="D144" s="50" t="s">
        <v>911</v>
      </c>
      <c r="E144" s="47" t="s">
        <v>8981</v>
      </c>
      <c r="F144" s="49">
        <v>45264.770688194403</v>
      </c>
      <c r="G144" s="47" t="s">
        <v>8984</v>
      </c>
      <c r="H144" s="47">
        <v>4</v>
      </c>
      <c r="I144" s="57">
        <v>31.760833066327201</v>
      </c>
      <c r="J144" s="57">
        <v>18</v>
      </c>
      <c r="K144" s="57">
        <v>5.56</v>
      </c>
      <c r="L144" s="57">
        <v>5.56</v>
      </c>
    </row>
    <row r="145" spans="1:12" ht="26.45">
      <c r="A145" s="44">
        <v>2024</v>
      </c>
      <c r="B145" s="44" t="s">
        <v>914</v>
      </c>
      <c r="C145" s="44" t="s">
        <v>5036</v>
      </c>
      <c r="D145" s="46" t="s">
        <v>915</v>
      </c>
      <c r="E145" s="44" t="s">
        <v>8981</v>
      </c>
      <c r="F145" s="51">
        <v>45138.621156446803</v>
      </c>
      <c r="G145" s="44" t="s">
        <v>8993</v>
      </c>
      <c r="H145" s="44">
        <v>1</v>
      </c>
      <c r="I145" s="56">
        <v>101.50425086362399</v>
      </c>
      <c r="J145" s="56">
        <v>18</v>
      </c>
      <c r="K145" s="56">
        <v>12</v>
      </c>
      <c r="L145" s="56">
        <v>8</v>
      </c>
    </row>
    <row r="146" spans="1:12" ht="26.45">
      <c r="A146" s="47">
        <v>2024</v>
      </c>
      <c r="B146" s="47" t="s">
        <v>261</v>
      </c>
      <c r="C146" s="47" t="s">
        <v>5050</v>
      </c>
      <c r="D146" s="50" t="s">
        <v>916</v>
      </c>
      <c r="E146" s="47" t="s">
        <v>8981</v>
      </c>
      <c r="F146" s="49">
        <v>45006.7774185995</v>
      </c>
      <c r="G146" s="47" t="s">
        <v>8990</v>
      </c>
      <c r="H146" s="47">
        <v>0</v>
      </c>
      <c r="I146" s="57">
        <v>49.453215015455399</v>
      </c>
      <c r="J146" s="57">
        <v>18</v>
      </c>
      <c r="K146" s="57">
        <v>9.6</v>
      </c>
      <c r="L146" s="57">
        <v>8</v>
      </c>
    </row>
    <row r="147" spans="1:12" ht="26.45">
      <c r="A147" s="44">
        <v>2024</v>
      </c>
      <c r="B147" s="44" t="s">
        <v>263</v>
      </c>
      <c r="C147" s="44" t="s">
        <v>5085</v>
      </c>
      <c r="D147" s="46" t="s">
        <v>918</v>
      </c>
      <c r="E147" s="44" t="s">
        <v>8981</v>
      </c>
      <c r="F147" s="51">
        <v>45022.928287881899</v>
      </c>
      <c r="G147" s="44" t="s">
        <v>8993</v>
      </c>
      <c r="H147" s="44">
        <v>0</v>
      </c>
      <c r="I147" s="56">
        <v>74.7313774340994</v>
      </c>
      <c r="J147" s="56">
        <v>18</v>
      </c>
      <c r="K147" s="56">
        <v>12</v>
      </c>
      <c r="L147" s="56">
        <v>8</v>
      </c>
    </row>
    <row r="148" spans="1:12" ht="26.45">
      <c r="A148" s="47">
        <v>2024</v>
      </c>
      <c r="B148" s="47" t="s">
        <v>264</v>
      </c>
      <c r="C148" s="47" t="s">
        <v>5092</v>
      </c>
      <c r="D148" s="50" t="s">
        <v>919</v>
      </c>
      <c r="E148" s="47" t="s">
        <v>8981</v>
      </c>
      <c r="F148" s="49">
        <v>45022.946251736103</v>
      </c>
      <c r="G148" s="47" t="s">
        <v>8989</v>
      </c>
      <c r="H148" s="47">
        <v>0</v>
      </c>
      <c r="I148" s="57">
        <v>47.8698670508874</v>
      </c>
      <c r="J148" s="57">
        <v>18</v>
      </c>
      <c r="K148" s="57">
        <v>12</v>
      </c>
      <c r="L148" s="57">
        <v>8</v>
      </c>
    </row>
    <row r="149" spans="1:12" ht="39.6">
      <c r="A149" s="44">
        <v>2024</v>
      </c>
      <c r="B149" s="44" t="s">
        <v>265</v>
      </c>
      <c r="C149" s="44" t="s">
        <v>5099</v>
      </c>
      <c r="D149" s="46" t="s">
        <v>920</v>
      </c>
      <c r="E149" s="44" t="s">
        <v>8981</v>
      </c>
      <c r="F149" s="51">
        <v>45022.931882870398</v>
      </c>
      <c r="G149" s="44" t="s">
        <v>8993</v>
      </c>
      <c r="H149" s="44">
        <v>3</v>
      </c>
      <c r="I149" s="56">
        <v>65.866349088882103</v>
      </c>
      <c r="J149" s="56">
        <v>18</v>
      </c>
      <c r="K149" s="56">
        <v>12</v>
      </c>
      <c r="L149" s="56">
        <v>8</v>
      </c>
    </row>
    <row r="150" spans="1:12" ht="26.45">
      <c r="A150" s="47">
        <v>2024</v>
      </c>
      <c r="B150" s="47" t="s">
        <v>921</v>
      </c>
      <c r="C150" s="47" t="s">
        <v>5106</v>
      </c>
      <c r="D150" s="50" t="s">
        <v>922</v>
      </c>
      <c r="E150" s="47" t="s">
        <v>8981</v>
      </c>
      <c r="F150" s="49">
        <v>45022.9326566319</v>
      </c>
      <c r="G150" s="47" t="s">
        <v>8993</v>
      </c>
      <c r="H150" s="47">
        <v>0</v>
      </c>
      <c r="I150" s="57">
        <v>69.958201111651505</v>
      </c>
      <c r="J150" s="57">
        <v>18</v>
      </c>
      <c r="K150" s="57">
        <v>12</v>
      </c>
      <c r="L150" s="57">
        <v>8</v>
      </c>
    </row>
    <row r="151" spans="1:12" ht="26.45">
      <c r="A151" s="44">
        <v>2024</v>
      </c>
      <c r="B151" s="44" t="s">
        <v>266</v>
      </c>
      <c r="C151" s="44" t="s">
        <v>5112</v>
      </c>
      <c r="D151" s="46" t="s">
        <v>923</v>
      </c>
      <c r="E151" s="44" t="s">
        <v>8981</v>
      </c>
      <c r="F151" s="51">
        <v>45028.744085567101</v>
      </c>
      <c r="G151" s="44" t="s">
        <v>8993</v>
      </c>
      <c r="H151" s="44">
        <v>2</v>
      </c>
      <c r="I151" s="56">
        <v>59.877899934101599</v>
      </c>
      <c r="J151" s="56">
        <v>18</v>
      </c>
      <c r="K151" s="56">
        <v>12</v>
      </c>
      <c r="L151" s="56">
        <v>8</v>
      </c>
    </row>
    <row r="152" spans="1:12" ht="39.6">
      <c r="A152" s="47">
        <v>2024</v>
      </c>
      <c r="B152" s="47" t="s">
        <v>267</v>
      </c>
      <c r="C152" s="47" t="s">
        <v>5118</v>
      </c>
      <c r="D152" s="50" t="s">
        <v>924</v>
      </c>
      <c r="E152" s="47" t="s">
        <v>8981</v>
      </c>
      <c r="F152" s="49">
        <v>45033.852381446799</v>
      </c>
      <c r="G152" s="47" t="s">
        <v>8993</v>
      </c>
      <c r="H152" s="47">
        <v>3</v>
      </c>
      <c r="I152" s="57">
        <v>64.568707971328095</v>
      </c>
      <c r="J152" s="57">
        <v>18</v>
      </c>
      <c r="K152" s="57">
        <v>12</v>
      </c>
      <c r="L152" s="57">
        <v>8</v>
      </c>
    </row>
    <row r="153" spans="1:12" ht="26.45">
      <c r="A153" s="44">
        <v>2024</v>
      </c>
      <c r="B153" s="44" t="s">
        <v>268</v>
      </c>
      <c r="C153" s="44" t="s">
        <v>5125</v>
      </c>
      <c r="D153" s="46" t="s">
        <v>925</v>
      </c>
      <c r="E153" s="44" t="s">
        <v>8981</v>
      </c>
      <c r="F153" s="51">
        <v>45033.8554756944</v>
      </c>
      <c r="G153" s="44" t="s">
        <v>8993</v>
      </c>
      <c r="H153" s="44">
        <v>3</v>
      </c>
      <c r="I153" s="56">
        <v>45.889263726913299</v>
      </c>
      <c r="J153" s="56">
        <v>18</v>
      </c>
      <c r="K153" s="56">
        <v>12</v>
      </c>
      <c r="L153" s="56">
        <v>8</v>
      </c>
    </row>
    <row r="154" spans="1:12" ht="26.45">
      <c r="A154" s="47">
        <v>2024</v>
      </c>
      <c r="B154" s="47" t="s">
        <v>926</v>
      </c>
      <c r="C154" s="47" t="s">
        <v>5131</v>
      </c>
      <c r="D154" s="50" t="s">
        <v>927</v>
      </c>
      <c r="E154" s="47" t="s">
        <v>8981</v>
      </c>
      <c r="F154" s="49">
        <v>45028.740390243103</v>
      </c>
      <c r="G154" s="47" t="s">
        <v>8993</v>
      </c>
      <c r="H154" s="47">
        <v>2</v>
      </c>
      <c r="I154" s="57">
        <v>70.9510168966073</v>
      </c>
      <c r="J154" s="57">
        <v>18</v>
      </c>
      <c r="K154" s="57">
        <v>12</v>
      </c>
      <c r="L154" s="57">
        <v>8</v>
      </c>
    </row>
    <row r="155" spans="1:12" ht="39.6">
      <c r="A155" s="44">
        <v>2024</v>
      </c>
      <c r="B155" s="44" t="s">
        <v>928</v>
      </c>
      <c r="C155" s="44" t="s">
        <v>5137</v>
      </c>
      <c r="D155" s="46" t="s">
        <v>929</v>
      </c>
      <c r="E155" s="44" t="s">
        <v>8981</v>
      </c>
      <c r="F155" s="51">
        <v>45028.742964236102</v>
      </c>
      <c r="G155" s="44" t="s">
        <v>8993</v>
      </c>
      <c r="H155" s="44">
        <v>2</v>
      </c>
      <c r="I155" s="56">
        <v>67.422490708569896</v>
      </c>
      <c r="J155" s="56">
        <v>18</v>
      </c>
      <c r="K155" s="56">
        <v>12</v>
      </c>
      <c r="L155" s="56">
        <v>8</v>
      </c>
    </row>
    <row r="156" spans="1:12" ht="26.45">
      <c r="A156" s="47">
        <v>2024</v>
      </c>
      <c r="B156" s="47" t="s">
        <v>930</v>
      </c>
      <c r="C156" s="47" t="s">
        <v>5144</v>
      </c>
      <c r="D156" s="50" t="s">
        <v>931</v>
      </c>
      <c r="E156" s="47" t="s">
        <v>8981</v>
      </c>
      <c r="F156" s="49">
        <v>45020.909666053201</v>
      </c>
      <c r="G156" s="47" t="s">
        <v>8983</v>
      </c>
      <c r="H156" s="47">
        <v>5</v>
      </c>
      <c r="I156" s="57">
        <v>83.439706435646002</v>
      </c>
      <c r="J156" s="57">
        <v>18</v>
      </c>
      <c r="K156" s="57">
        <v>12</v>
      </c>
      <c r="L156" s="57">
        <v>8</v>
      </c>
    </row>
    <row r="157" spans="1:12" ht="39.6">
      <c r="A157" s="44">
        <v>2024</v>
      </c>
      <c r="B157" s="44" t="s">
        <v>269</v>
      </c>
      <c r="C157" s="44" t="s">
        <v>5150</v>
      </c>
      <c r="D157" s="46" t="s">
        <v>932</v>
      </c>
      <c r="E157" s="44" t="s">
        <v>8981</v>
      </c>
      <c r="F157" s="51">
        <v>45028.737416979202</v>
      </c>
      <c r="G157" s="44" t="s">
        <v>8993</v>
      </c>
      <c r="H157" s="44">
        <v>2</v>
      </c>
      <c r="I157" s="56">
        <v>54.053994052238203</v>
      </c>
      <c r="J157" s="56">
        <v>18</v>
      </c>
      <c r="K157" s="56">
        <v>12</v>
      </c>
      <c r="L157" s="56">
        <v>8</v>
      </c>
    </row>
    <row r="158" spans="1:12" ht="39.6">
      <c r="A158" s="47">
        <v>2024</v>
      </c>
      <c r="B158" s="47" t="s">
        <v>933</v>
      </c>
      <c r="C158" s="47" t="s">
        <v>5156</v>
      </c>
      <c r="D158" s="50" t="s">
        <v>934</v>
      </c>
      <c r="E158" s="47" t="s">
        <v>8981</v>
      </c>
      <c r="F158" s="49">
        <v>45028.736630358799</v>
      </c>
      <c r="G158" s="47" t="s">
        <v>8993</v>
      </c>
      <c r="H158" s="47">
        <v>2</v>
      </c>
      <c r="I158" s="57">
        <v>49.406554881564702</v>
      </c>
      <c r="J158" s="57">
        <v>18</v>
      </c>
      <c r="K158" s="57">
        <v>12</v>
      </c>
      <c r="L158" s="57">
        <v>8</v>
      </c>
    </row>
    <row r="159" spans="1:12" ht="26.45">
      <c r="A159" s="44">
        <v>2024</v>
      </c>
      <c r="B159" s="44" t="s">
        <v>935</v>
      </c>
      <c r="C159" s="44" t="s">
        <v>5162</v>
      </c>
      <c r="D159" s="46" t="s">
        <v>936</v>
      </c>
      <c r="E159" s="44" t="s">
        <v>8981</v>
      </c>
      <c r="F159" s="51">
        <v>45028.739631678203</v>
      </c>
      <c r="G159" s="44" t="s">
        <v>8993</v>
      </c>
      <c r="H159" s="44">
        <v>2</v>
      </c>
      <c r="I159" s="56">
        <v>80.421884795288307</v>
      </c>
      <c r="J159" s="56">
        <v>18</v>
      </c>
      <c r="K159" s="56">
        <v>12</v>
      </c>
      <c r="L159" s="56">
        <v>8</v>
      </c>
    </row>
    <row r="160" spans="1:12" ht="39.6">
      <c r="A160" s="47">
        <v>2024</v>
      </c>
      <c r="B160" s="47" t="s">
        <v>937</v>
      </c>
      <c r="C160" s="47" t="s">
        <v>5169</v>
      </c>
      <c r="D160" s="50" t="s">
        <v>938</v>
      </c>
      <c r="E160" s="47" t="s">
        <v>8981</v>
      </c>
      <c r="F160" s="49">
        <v>45028.738308298598</v>
      </c>
      <c r="G160" s="47" t="s">
        <v>8993</v>
      </c>
      <c r="H160" s="47">
        <v>2</v>
      </c>
      <c r="I160" s="57">
        <v>75.748514372581496</v>
      </c>
      <c r="J160" s="57">
        <v>18</v>
      </c>
      <c r="K160" s="57">
        <v>12</v>
      </c>
      <c r="L160" s="57">
        <v>8</v>
      </c>
    </row>
    <row r="161" spans="1:12" ht="39.6">
      <c r="A161" s="44">
        <v>2024</v>
      </c>
      <c r="B161" s="44" t="s">
        <v>270</v>
      </c>
      <c r="C161" s="44" t="s">
        <v>5174</v>
      </c>
      <c r="D161" s="46" t="s">
        <v>939</v>
      </c>
      <c r="E161" s="44" t="s">
        <v>8981</v>
      </c>
      <c r="F161" s="51">
        <v>45033.8569482639</v>
      </c>
      <c r="G161" s="44" t="s">
        <v>8993</v>
      </c>
      <c r="H161" s="44">
        <v>3</v>
      </c>
      <c r="I161" s="56">
        <v>72.354502262097796</v>
      </c>
      <c r="J161" s="56">
        <v>18</v>
      </c>
      <c r="K161" s="56">
        <v>12</v>
      </c>
      <c r="L161" s="56">
        <v>8</v>
      </c>
    </row>
    <row r="162" spans="1:12" ht="39.6">
      <c r="A162" s="47">
        <v>2024</v>
      </c>
      <c r="B162" s="47" t="s">
        <v>940</v>
      </c>
      <c r="C162" s="47" t="s">
        <v>5181</v>
      </c>
      <c r="D162" s="50" t="s">
        <v>941</v>
      </c>
      <c r="E162" s="47" t="s">
        <v>8981</v>
      </c>
      <c r="F162" s="49">
        <v>45033.857937384302</v>
      </c>
      <c r="G162" s="47" t="s">
        <v>8993</v>
      </c>
      <c r="H162" s="47">
        <v>3</v>
      </c>
      <c r="I162" s="57">
        <v>55.533136889317703</v>
      </c>
      <c r="J162" s="57">
        <v>18</v>
      </c>
      <c r="K162" s="57">
        <v>12</v>
      </c>
      <c r="L162" s="57">
        <v>8</v>
      </c>
    </row>
    <row r="163" spans="1:12" ht="26.45">
      <c r="A163" s="44">
        <v>2024</v>
      </c>
      <c r="B163" s="44" t="s">
        <v>271</v>
      </c>
      <c r="C163" s="44" t="s">
        <v>5186</v>
      </c>
      <c r="D163" s="46" t="s">
        <v>942</v>
      </c>
      <c r="E163" s="44" t="s">
        <v>8981</v>
      </c>
      <c r="F163" s="51">
        <v>45023.682675694399</v>
      </c>
      <c r="G163" s="44" t="s">
        <v>8993</v>
      </c>
      <c r="H163" s="44">
        <v>14</v>
      </c>
      <c r="I163" s="56">
        <v>0</v>
      </c>
      <c r="J163" s="56">
        <v>0</v>
      </c>
      <c r="K163" s="56">
        <v>0</v>
      </c>
      <c r="L163" s="56">
        <v>0</v>
      </c>
    </row>
    <row r="164" spans="1:12" ht="26.45">
      <c r="A164" s="47">
        <v>2024</v>
      </c>
      <c r="B164" s="47" t="s">
        <v>272</v>
      </c>
      <c r="C164" s="47" t="s">
        <v>5201</v>
      </c>
      <c r="D164" s="50" t="s">
        <v>943</v>
      </c>
      <c r="E164" s="47" t="s">
        <v>8981</v>
      </c>
      <c r="F164" s="49">
        <v>45002.905762349503</v>
      </c>
      <c r="G164" s="47" t="s">
        <v>8990</v>
      </c>
      <c r="H164" s="47">
        <v>16</v>
      </c>
      <c r="I164" s="57">
        <v>11.9254613318535</v>
      </c>
      <c r="J164" s="57">
        <v>11.9254613318535</v>
      </c>
      <c r="K164" s="57">
        <v>7.37</v>
      </c>
      <c r="L164" s="57">
        <v>7.37</v>
      </c>
    </row>
    <row r="165" spans="1:12" ht="26.45">
      <c r="A165" s="44">
        <v>2024</v>
      </c>
      <c r="B165" s="44" t="s">
        <v>944</v>
      </c>
      <c r="C165" s="44" t="s">
        <v>5208</v>
      </c>
      <c r="D165" s="46" t="s">
        <v>945</v>
      </c>
      <c r="E165" s="44" t="s">
        <v>8981</v>
      </c>
      <c r="F165" s="51">
        <v>45131.633855671302</v>
      </c>
      <c r="G165" s="44" t="s">
        <v>8983</v>
      </c>
      <c r="H165" s="44">
        <v>3</v>
      </c>
      <c r="I165" s="56">
        <v>76.829809291300293</v>
      </c>
      <c r="J165" s="56">
        <v>18</v>
      </c>
      <c r="K165" s="56">
        <v>12</v>
      </c>
      <c r="L165" s="56">
        <v>8</v>
      </c>
    </row>
    <row r="166" spans="1:12" ht="26.45">
      <c r="A166" s="47">
        <v>2024</v>
      </c>
      <c r="B166" s="47" t="s">
        <v>276</v>
      </c>
      <c r="C166" s="47" t="s">
        <v>5296</v>
      </c>
      <c r="D166" s="50" t="s">
        <v>951</v>
      </c>
      <c r="E166" s="47" t="s">
        <v>8991</v>
      </c>
      <c r="F166" s="49">
        <v>44991.8896822569</v>
      </c>
      <c r="G166" s="47" t="s">
        <v>8994</v>
      </c>
      <c r="H166" s="47"/>
      <c r="I166" s="57">
        <v>0</v>
      </c>
      <c r="J166" s="57">
        <v>0</v>
      </c>
      <c r="K166" s="57">
        <v>0</v>
      </c>
      <c r="L166" s="57">
        <v>0</v>
      </c>
    </row>
    <row r="167" spans="1:12" ht="26.45">
      <c r="A167" s="44">
        <v>2024</v>
      </c>
      <c r="B167" s="44" t="s">
        <v>278</v>
      </c>
      <c r="C167" s="44" t="s">
        <v>5316</v>
      </c>
      <c r="D167" s="46" t="s">
        <v>953</v>
      </c>
      <c r="E167" s="44" t="s">
        <v>8981</v>
      </c>
      <c r="F167" s="51">
        <v>45012.645857210598</v>
      </c>
      <c r="G167" s="44" t="s">
        <v>8993</v>
      </c>
      <c r="H167" s="44">
        <v>3</v>
      </c>
      <c r="I167" s="56">
        <v>23.368348788544001</v>
      </c>
      <c r="J167" s="56">
        <v>18</v>
      </c>
      <c r="K167" s="56">
        <v>3.15</v>
      </c>
      <c r="L167" s="56">
        <v>3.15</v>
      </c>
    </row>
    <row r="168" spans="1:12" ht="39.6">
      <c r="A168" s="47">
        <v>2024</v>
      </c>
      <c r="B168" s="47" t="s">
        <v>5330</v>
      </c>
      <c r="C168" s="47" t="s">
        <v>5331</v>
      </c>
      <c r="D168" s="50" t="s">
        <v>5332</v>
      </c>
      <c r="E168" s="47" t="s">
        <v>8986</v>
      </c>
      <c r="F168" s="49">
        <v>45139.604788044002</v>
      </c>
      <c r="G168" s="47" t="s">
        <v>8985</v>
      </c>
      <c r="H168" s="47">
        <v>5</v>
      </c>
      <c r="I168" s="57">
        <v>0</v>
      </c>
      <c r="J168" s="57">
        <v>0</v>
      </c>
      <c r="K168" s="57">
        <v>0</v>
      </c>
      <c r="L168" s="57">
        <v>0</v>
      </c>
    </row>
    <row r="169" spans="1:12" ht="26.45">
      <c r="A169" s="44">
        <v>2024</v>
      </c>
      <c r="B169" s="44" t="s">
        <v>280</v>
      </c>
      <c r="C169" s="44" t="s">
        <v>5360</v>
      </c>
      <c r="D169" s="46" t="s">
        <v>957</v>
      </c>
      <c r="E169" s="44" t="s">
        <v>8981</v>
      </c>
      <c r="F169" s="51">
        <v>45015.750108599503</v>
      </c>
      <c r="G169" s="44" t="s">
        <v>8987</v>
      </c>
      <c r="H169" s="44">
        <v>1</v>
      </c>
      <c r="I169" s="56">
        <v>31.281855069976402</v>
      </c>
      <c r="J169" s="56">
        <v>18</v>
      </c>
      <c r="K169" s="56">
        <v>4</v>
      </c>
      <c r="L169" s="56">
        <v>4</v>
      </c>
    </row>
    <row r="170" spans="1:12" ht="26.45">
      <c r="A170" s="47">
        <v>2024</v>
      </c>
      <c r="B170" s="47" t="s">
        <v>281</v>
      </c>
      <c r="C170" s="47" t="s">
        <v>5380</v>
      </c>
      <c r="D170" s="50" t="s">
        <v>958</v>
      </c>
      <c r="E170" s="47" t="s">
        <v>8981</v>
      </c>
      <c r="F170" s="49">
        <v>45029.705043715301</v>
      </c>
      <c r="G170" s="47" t="s">
        <v>8993</v>
      </c>
      <c r="H170" s="47">
        <v>1</v>
      </c>
      <c r="I170" s="57">
        <v>26.936842272128398</v>
      </c>
      <c r="J170" s="57">
        <v>18</v>
      </c>
      <c r="K170" s="57">
        <v>4.47</v>
      </c>
      <c r="L170" s="57">
        <v>4.47</v>
      </c>
    </row>
    <row r="171" spans="1:12" ht="26.45">
      <c r="A171" s="44">
        <v>2024</v>
      </c>
      <c r="B171" s="44" t="s">
        <v>282</v>
      </c>
      <c r="C171" s="44" t="s">
        <v>5387</v>
      </c>
      <c r="D171" s="46" t="s">
        <v>959</v>
      </c>
      <c r="E171" s="44" t="s">
        <v>8981</v>
      </c>
      <c r="F171" s="51">
        <v>45006.7841764236</v>
      </c>
      <c r="G171" s="44" t="s">
        <v>8993</v>
      </c>
      <c r="H171" s="44">
        <v>1</v>
      </c>
      <c r="I171" s="56">
        <v>30.774532377424698</v>
      </c>
      <c r="J171" s="56">
        <v>18</v>
      </c>
      <c r="K171" s="56">
        <v>12</v>
      </c>
      <c r="L171" s="56">
        <v>8</v>
      </c>
    </row>
    <row r="172" spans="1:12" ht="26.45">
      <c r="A172" s="47">
        <v>2024</v>
      </c>
      <c r="B172" s="47" t="s">
        <v>283</v>
      </c>
      <c r="C172" s="47" t="s">
        <v>5396</v>
      </c>
      <c r="D172" s="50" t="s">
        <v>960</v>
      </c>
      <c r="E172" s="47" t="s">
        <v>8981</v>
      </c>
      <c r="F172" s="49">
        <v>45034.909099039403</v>
      </c>
      <c r="G172" s="47" t="s">
        <v>8984</v>
      </c>
      <c r="H172" s="47">
        <v>14</v>
      </c>
      <c r="I172" s="57">
        <v>35.087978234305602</v>
      </c>
      <c r="J172" s="57">
        <v>18</v>
      </c>
      <c r="K172" s="57">
        <v>12</v>
      </c>
      <c r="L172" s="57">
        <v>8</v>
      </c>
    </row>
    <row r="173" spans="1:12" ht="26.45">
      <c r="A173" s="44">
        <v>2024</v>
      </c>
      <c r="B173" s="44" t="s">
        <v>284</v>
      </c>
      <c r="C173" s="44" t="s">
        <v>5402</v>
      </c>
      <c r="D173" s="46" t="s">
        <v>961</v>
      </c>
      <c r="E173" s="44" t="s">
        <v>8981</v>
      </c>
      <c r="F173" s="51">
        <v>45002.784108449101</v>
      </c>
      <c r="G173" s="44" t="s">
        <v>8993</v>
      </c>
      <c r="H173" s="44">
        <v>0</v>
      </c>
      <c r="I173" s="56">
        <v>27.441442903112399</v>
      </c>
      <c r="J173" s="56">
        <v>18</v>
      </c>
      <c r="K173" s="56">
        <v>12</v>
      </c>
      <c r="L173" s="56">
        <v>8</v>
      </c>
    </row>
    <row r="174" spans="1:12" ht="26.45">
      <c r="A174" s="47">
        <v>2024</v>
      </c>
      <c r="B174" s="47" t="s">
        <v>962</v>
      </c>
      <c r="C174" s="47" t="s">
        <v>5415</v>
      </c>
      <c r="D174" s="50" t="s">
        <v>963</v>
      </c>
      <c r="E174" s="47" t="s">
        <v>8981</v>
      </c>
      <c r="F174" s="49">
        <v>45076.624906863399</v>
      </c>
      <c r="G174" s="47" t="s">
        <v>8993</v>
      </c>
      <c r="H174" s="47">
        <v>8</v>
      </c>
      <c r="I174" s="57">
        <v>13.5853831865705</v>
      </c>
      <c r="J174" s="57">
        <v>13.5853831865705</v>
      </c>
      <c r="K174" s="57">
        <v>12</v>
      </c>
      <c r="L174" s="57">
        <v>8</v>
      </c>
    </row>
    <row r="175" spans="1:12" ht="26.45">
      <c r="A175" s="44">
        <v>2024</v>
      </c>
      <c r="B175" s="44" t="s">
        <v>285</v>
      </c>
      <c r="C175" s="44" t="s">
        <v>5428</v>
      </c>
      <c r="D175" s="46" t="s">
        <v>964</v>
      </c>
      <c r="E175" s="44" t="s">
        <v>8981</v>
      </c>
      <c r="F175" s="51">
        <v>45007.7098645023</v>
      </c>
      <c r="G175" s="44" t="s">
        <v>8984</v>
      </c>
      <c r="H175" s="44">
        <v>13</v>
      </c>
      <c r="I175" s="56">
        <v>70.684148590677395</v>
      </c>
      <c r="J175" s="56">
        <v>18</v>
      </c>
      <c r="K175" s="56">
        <v>12</v>
      </c>
      <c r="L175" s="56">
        <v>8</v>
      </c>
    </row>
    <row r="176" spans="1:12" ht="26.45">
      <c r="A176" s="47">
        <v>2024</v>
      </c>
      <c r="B176" s="47" t="s">
        <v>286</v>
      </c>
      <c r="C176" s="47" t="s">
        <v>5435</v>
      </c>
      <c r="D176" s="50" t="s">
        <v>965</v>
      </c>
      <c r="E176" s="47" t="s">
        <v>8981</v>
      </c>
      <c r="F176" s="49">
        <v>45104.705341516201</v>
      </c>
      <c r="G176" s="47" t="s">
        <v>8984</v>
      </c>
      <c r="H176" s="47">
        <v>0</v>
      </c>
      <c r="I176" s="57">
        <v>74.513684298150906</v>
      </c>
      <c r="J176" s="57">
        <v>18</v>
      </c>
      <c r="K176" s="57">
        <v>12</v>
      </c>
      <c r="L176" s="57">
        <v>8</v>
      </c>
    </row>
    <row r="177" spans="1:12" ht="26.45">
      <c r="A177" s="44">
        <v>2024</v>
      </c>
      <c r="B177" s="44" t="s">
        <v>287</v>
      </c>
      <c r="C177" s="44" t="s">
        <v>5441</v>
      </c>
      <c r="D177" s="46" t="s">
        <v>966</v>
      </c>
      <c r="E177" s="44" t="s">
        <v>8981</v>
      </c>
      <c r="F177" s="51">
        <v>45104.708697222202</v>
      </c>
      <c r="G177" s="44" t="s">
        <v>8984</v>
      </c>
      <c r="H177" s="44">
        <v>0</v>
      </c>
      <c r="I177" s="56">
        <v>100.476281826541</v>
      </c>
      <c r="J177" s="56">
        <v>18</v>
      </c>
      <c r="K177" s="56">
        <v>12</v>
      </c>
      <c r="L177" s="56">
        <v>8</v>
      </c>
    </row>
    <row r="178" spans="1:12" ht="26.45">
      <c r="A178" s="47">
        <v>2024</v>
      </c>
      <c r="B178" s="47" t="s">
        <v>288</v>
      </c>
      <c r="C178" s="47" t="s">
        <v>5448</v>
      </c>
      <c r="D178" s="50" t="s">
        <v>967</v>
      </c>
      <c r="E178" s="47" t="s">
        <v>8981</v>
      </c>
      <c r="F178" s="49">
        <v>45021.905678668998</v>
      </c>
      <c r="G178" s="47" t="s">
        <v>8993</v>
      </c>
      <c r="H178" s="47">
        <v>12</v>
      </c>
      <c r="I178" s="57">
        <v>56.9842462641842</v>
      </c>
      <c r="J178" s="57">
        <v>18</v>
      </c>
      <c r="K178" s="57">
        <v>0</v>
      </c>
      <c r="L178" s="57">
        <v>0</v>
      </c>
    </row>
    <row r="179" spans="1:12" ht="26.45">
      <c r="A179" s="44">
        <v>2024</v>
      </c>
      <c r="B179" s="44" t="s">
        <v>289</v>
      </c>
      <c r="C179" s="44" t="s">
        <v>5454</v>
      </c>
      <c r="D179" s="46" t="s">
        <v>968</v>
      </c>
      <c r="E179" s="44" t="s">
        <v>8981</v>
      </c>
      <c r="F179" s="51">
        <v>45012.923942673602</v>
      </c>
      <c r="G179" s="44" t="s">
        <v>8993</v>
      </c>
      <c r="H179" s="44">
        <v>3</v>
      </c>
      <c r="I179" s="56">
        <v>80.828285482244098</v>
      </c>
      <c r="J179" s="56">
        <v>18</v>
      </c>
      <c r="K179" s="56">
        <v>12</v>
      </c>
      <c r="L179" s="56">
        <v>8</v>
      </c>
    </row>
    <row r="180" spans="1:12" ht="26.45">
      <c r="A180" s="47">
        <v>2024</v>
      </c>
      <c r="B180" s="47" t="s">
        <v>290</v>
      </c>
      <c r="C180" s="47" t="s">
        <v>5460</v>
      </c>
      <c r="D180" s="50" t="s">
        <v>969</v>
      </c>
      <c r="E180" s="47" t="s">
        <v>8981</v>
      </c>
      <c r="F180" s="49">
        <v>45021.922425925899</v>
      </c>
      <c r="G180" s="47" t="s">
        <v>8993</v>
      </c>
      <c r="H180" s="47">
        <v>12</v>
      </c>
      <c r="I180" s="57">
        <v>54.875848417432799</v>
      </c>
      <c r="J180" s="57">
        <v>18</v>
      </c>
      <c r="K180" s="57">
        <v>0</v>
      </c>
      <c r="L180" s="57">
        <v>0</v>
      </c>
    </row>
    <row r="181" spans="1:12" ht="26.45">
      <c r="A181" s="44">
        <v>2024</v>
      </c>
      <c r="B181" s="44" t="s">
        <v>291</v>
      </c>
      <c r="C181" s="44" t="s">
        <v>5466</v>
      </c>
      <c r="D181" s="46" t="s">
        <v>970</v>
      </c>
      <c r="E181" s="44" t="s">
        <v>8981</v>
      </c>
      <c r="F181" s="51">
        <v>45012.9501435532</v>
      </c>
      <c r="G181" s="44" t="s">
        <v>8993</v>
      </c>
      <c r="H181" s="44">
        <v>3</v>
      </c>
      <c r="I181" s="56">
        <v>57.960511338044903</v>
      </c>
      <c r="J181" s="56">
        <v>18</v>
      </c>
      <c r="K181" s="56">
        <v>12</v>
      </c>
      <c r="L181" s="56">
        <v>8</v>
      </c>
    </row>
    <row r="182" spans="1:12" ht="26.45">
      <c r="A182" s="47">
        <v>2024</v>
      </c>
      <c r="B182" s="47" t="s">
        <v>292</v>
      </c>
      <c r="C182" s="47" t="s">
        <v>5472</v>
      </c>
      <c r="D182" s="50" t="s">
        <v>971</v>
      </c>
      <c r="E182" s="47" t="s">
        <v>8981</v>
      </c>
      <c r="F182" s="49">
        <v>45021.9376898958</v>
      </c>
      <c r="G182" s="47" t="s">
        <v>8993</v>
      </c>
      <c r="H182" s="47">
        <v>12</v>
      </c>
      <c r="I182" s="57">
        <v>91.284169659686597</v>
      </c>
      <c r="J182" s="57">
        <v>18</v>
      </c>
      <c r="K182" s="57">
        <v>12</v>
      </c>
      <c r="L182" s="57">
        <v>8</v>
      </c>
    </row>
    <row r="183" spans="1:12" ht="26.45">
      <c r="A183" s="44">
        <v>2024</v>
      </c>
      <c r="B183" s="44" t="s">
        <v>293</v>
      </c>
      <c r="C183" s="44" t="s">
        <v>5478</v>
      </c>
      <c r="D183" s="46" t="s">
        <v>972</v>
      </c>
      <c r="E183" s="44" t="s">
        <v>8981</v>
      </c>
      <c r="F183" s="51">
        <v>45104.735057604201</v>
      </c>
      <c r="G183" s="44" t="s">
        <v>8990</v>
      </c>
      <c r="H183" s="44">
        <v>0</v>
      </c>
      <c r="I183" s="56">
        <v>98.931073305789099</v>
      </c>
      <c r="J183" s="56">
        <v>18</v>
      </c>
      <c r="K183" s="56">
        <v>12</v>
      </c>
      <c r="L183" s="56">
        <v>8</v>
      </c>
    </row>
    <row r="184" spans="1:12" ht="26.45">
      <c r="A184" s="47">
        <v>2024</v>
      </c>
      <c r="B184" s="47" t="s">
        <v>294</v>
      </c>
      <c r="C184" s="47" t="s">
        <v>5483</v>
      </c>
      <c r="D184" s="50" t="s">
        <v>973</v>
      </c>
      <c r="E184" s="47" t="s">
        <v>8981</v>
      </c>
      <c r="F184" s="49">
        <v>45079.621839236097</v>
      </c>
      <c r="G184" s="47" t="s">
        <v>8993</v>
      </c>
      <c r="H184" s="47">
        <v>1</v>
      </c>
      <c r="I184" s="57">
        <v>66.605783755372698</v>
      </c>
      <c r="J184" s="57">
        <v>18</v>
      </c>
      <c r="K184" s="57">
        <v>12</v>
      </c>
      <c r="L184" s="57">
        <v>8</v>
      </c>
    </row>
    <row r="185" spans="1:12" ht="26.45">
      <c r="A185" s="44">
        <v>2024</v>
      </c>
      <c r="B185" s="44" t="s">
        <v>295</v>
      </c>
      <c r="C185" s="44" t="s">
        <v>5490</v>
      </c>
      <c r="D185" s="46" t="s">
        <v>974</v>
      </c>
      <c r="E185" s="44" t="s">
        <v>8981</v>
      </c>
      <c r="F185" s="51">
        <v>45104.710129166699</v>
      </c>
      <c r="G185" s="44" t="s">
        <v>8984</v>
      </c>
      <c r="H185" s="44">
        <v>0</v>
      </c>
      <c r="I185" s="56">
        <v>90.982170025626999</v>
      </c>
      <c r="J185" s="56">
        <v>18</v>
      </c>
      <c r="K185" s="56">
        <v>12</v>
      </c>
      <c r="L185" s="56">
        <v>8</v>
      </c>
    </row>
    <row r="186" spans="1:12" ht="26.45">
      <c r="A186" s="47">
        <v>2024</v>
      </c>
      <c r="B186" s="47" t="s">
        <v>296</v>
      </c>
      <c r="C186" s="47" t="s">
        <v>5496</v>
      </c>
      <c r="D186" s="50" t="s">
        <v>975</v>
      </c>
      <c r="E186" s="47" t="s">
        <v>8981</v>
      </c>
      <c r="F186" s="49">
        <v>45022.881976886601</v>
      </c>
      <c r="G186" s="47" t="s">
        <v>8993</v>
      </c>
      <c r="H186" s="47">
        <v>13</v>
      </c>
      <c r="I186" s="57">
        <v>50.945194238026403</v>
      </c>
      <c r="J186" s="57">
        <v>18</v>
      </c>
      <c r="K186" s="57">
        <v>0</v>
      </c>
      <c r="L186" s="57">
        <v>0</v>
      </c>
    </row>
    <row r="187" spans="1:12" ht="26.45">
      <c r="A187" s="44">
        <v>2024</v>
      </c>
      <c r="B187" s="44" t="s">
        <v>297</v>
      </c>
      <c r="C187" s="44" t="s">
        <v>5502</v>
      </c>
      <c r="D187" s="46" t="s">
        <v>976</v>
      </c>
      <c r="E187" s="44" t="s">
        <v>8981</v>
      </c>
      <c r="F187" s="51">
        <v>45079.622336307897</v>
      </c>
      <c r="G187" s="44" t="s">
        <v>8993</v>
      </c>
      <c r="H187" s="44">
        <v>1</v>
      </c>
      <c r="I187" s="56">
        <v>65.767627640940702</v>
      </c>
      <c r="J187" s="56">
        <v>18</v>
      </c>
      <c r="K187" s="56">
        <v>12</v>
      </c>
      <c r="L187" s="56">
        <v>8</v>
      </c>
    </row>
    <row r="188" spans="1:12" ht="26.45">
      <c r="A188" s="47">
        <v>2024</v>
      </c>
      <c r="B188" s="47" t="s">
        <v>977</v>
      </c>
      <c r="C188" s="47" t="s">
        <v>5508</v>
      </c>
      <c r="D188" s="50" t="s">
        <v>978</v>
      </c>
      <c r="E188" s="47" t="s">
        <v>8981</v>
      </c>
      <c r="F188" s="49">
        <v>45104.6880038542</v>
      </c>
      <c r="G188" s="47" t="s">
        <v>8993</v>
      </c>
      <c r="H188" s="47">
        <v>0</v>
      </c>
      <c r="I188" s="57">
        <v>104.814774722648</v>
      </c>
      <c r="J188" s="57">
        <v>18</v>
      </c>
      <c r="K188" s="57">
        <v>0</v>
      </c>
      <c r="L188" s="57">
        <v>0</v>
      </c>
    </row>
    <row r="189" spans="1:12" ht="26.45">
      <c r="A189" s="44">
        <v>2024</v>
      </c>
      <c r="B189" s="44" t="s">
        <v>298</v>
      </c>
      <c r="C189" s="44" t="s">
        <v>5514</v>
      </c>
      <c r="D189" s="46" t="s">
        <v>979</v>
      </c>
      <c r="E189" s="44" t="s">
        <v>8981</v>
      </c>
      <c r="F189" s="51">
        <v>45078.918137766203</v>
      </c>
      <c r="G189" s="44" t="s">
        <v>8990</v>
      </c>
      <c r="H189" s="44">
        <v>0</v>
      </c>
      <c r="I189" s="56">
        <v>63.062208612907803</v>
      </c>
      <c r="J189" s="56">
        <v>18</v>
      </c>
      <c r="K189" s="56">
        <v>12</v>
      </c>
      <c r="L189" s="56">
        <v>8</v>
      </c>
    </row>
    <row r="190" spans="1:12" ht="26.45">
      <c r="A190" s="47">
        <v>2024</v>
      </c>
      <c r="B190" s="47" t="s">
        <v>299</v>
      </c>
      <c r="C190" s="47" t="s">
        <v>5521</v>
      </c>
      <c r="D190" s="50" t="s">
        <v>980</v>
      </c>
      <c r="E190" s="47" t="s">
        <v>8981</v>
      </c>
      <c r="F190" s="49">
        <v>45079.622828900501</v>
      </c>
      <c r="G190" s="47" t="s">
        <v>8993</v>
      </c>
      <c r="H190" s="47">
        <v>1</v>
      </c>
      <c r="I190" s="57">
        <v>89.017696807824194</v>
      </c>
      <c r="J190" s="57">
        <v>18</v>
      </c>
      <c r="K190" s="57">
        <v>12</v>
      </c>
      <c r="L190" s="57">
        <v>8</v>
      </c>
    </row>
    <row r="191" spans="1:12" ht="26.45">
      <c r="A191" s="44">
        <v>2024</v>
      </c>
      <c r="B191" s="44" t="s">
        <v>300</v>
      </c>
      <c r="C191" s="44" t="s">
        <v>5527</v>
      </c>
      <c r="D191" s="46" t="s">
        <v>981</v>
      </c>
      <c r="E191" s="44" t="s">
        <v>8981</v>
      </c>
      <c r="F191" s="51">
        <v>45012.783651620397</v>
      </c>
      <c r="G191" s="44" t="s">
        <v>8993</v>
      </c>
      <c r="H191" s="44">
        <v>3</v>
      </c>
      <c r="I191" s="56">
        <v>74.240129430454203</v>
      </c>
      <c r="J191" s="56">
        <v>18</v>
      </c>
      <c r="K191" s="56">
        <v>12</v>
      </c>
      <c r="L191" s="56">
        <v>8</v>
      </c>
    </row>
    <row r="192" spans="1:12" ht="26.45">
      <c r="A192" s="47">
        <v>2024</v>
      </c>
      <c r="B192" s="47" t="s">
        <v>301</v>
      </c>
      <c r="C192" s="47" t="s">
        <v>5534</v>
      </c>
      <c r="D192" s="50" t="s">
        <v>982</v>
      </c>
      <c r="E192" s="47" t="s">
        <v>8981</v>
      </c>
      <c r="F192" s="49">
        <v>45083.819881863397</v>
      </c>
      <c r="G192" s="47" t="s">
        <v>8990</v>
      </c>
      <c r="H192" s="47">
        <v>0</v>
      </c>
      <c r="I192" s="57">
        <v>66.705112220442103</v>
      </c>
      <c r="J192" s="57">
        <v>18</v>
      </c>
      <c r="K192" s="57">
        <v>12</v>
      </c>
      <c r="L192" s="57">
        <v>8</v>
      </c>
    </row>
    <row r="193" spans="1:12" ht="26.45">
      <c r="A193" s="44">
        <v>2024</v>
      </c>
      <c r="B193" s="44" t="s">
        <v>302</v>
      </c>
      <c r="C193" s="44" t="s">
        <v>5540</v>
      </c>
      <c r="D193" s="46" t="s">
        <v>983</v>
      </c>
      <c r="E193" s="44" t="s">
        <v>8981</v>
      </c>
      <c r="F193" s="51">
        <v>45012.751722835601</v>
      </c>
      <c r="G193" s="44" t="s">
        <v>8993</v>
      </c>
      <c r="H193" s="44">
        <v>3</v>
      </c>
      <c r="I193" s="56">
        <v>107.57483807513</v>
      </c>
      <c r="J193" s="56">
        <v>18</v>
      </c>
      <c r="K193" s="56">
        <v>12</v>
      </c>
      <c r="L193" s="56">
        <v>8</v>
      </c>
    </row>
    <row r="194" spans="1:12" ht="26.45">
      <c r="A194" s="47">
        <v>2024</v>
      </c>
      <c r="B194" s="47" t="s">
        <v>303</v>
      </c>
      <c r="C194" s="47" t="s">
        <v>5546</v>
      </c>
      <c r="D194" s="50" t="s">
        <v>984</v>
      </c>
      <c r="E194" s="47" t="s">
        <v>8981</v>
      </c>
      <c r="F194" s="49">
        <v>45012.683869988403</v>
      </c>
      <c r="G194" s="47" t="s">
        <v>8993</v>
      </c>
      <c r="H194" s="47">
        <v>3</v>
      </c>
      <c r="I194" s="57">
        <v>59.693132840604903</v>
      </c>
      <c r="J194" s="57">
        <v>18</v>
      </c>
      <c r="K194" s="57">
        <v>0</v>
      </c>
      <c r="L194" s="57">
        <v>0</v>
      </c>
    </row>
    <row r="195" spans="1:12" ht="26.45">
      <c r="A195" s="44">
        <v>2024</v>
      </c>
      <c r="B195" s="44" t="s">
        <v>306</v>
      </c>
      <c r="C195" s="44" t="s">
        <v>5570</v>
      </c>
      <c r="D195" s="46" t="s">
        <v>987</v>
      </c>
      <c r="E195" s="44" t="s">
        <v>8981</v>
      </c>
      <c r="F195" s="51">
        <v>45006.855408761599</v>
      </c>
      <c r="G195" s="44" t="s">
        <v>8993</v>
      </c>
      <c r="H195" s="44">
        <v>11</v>
      </c>
      <c r="I195" s="56">
        <v>26.7199445834686</v>
      </c>
      <c r="J195" s="56">
        <v>18</v>
      </c>
      <c r="K195" s="56">
        <v>5.54</v>
      </c>
      <c r="L195" s="56">
        <v>5.54</v>
      </c>
    </row>
    <row r="196" spans="1:12" ht="26.45">
      <c r="A196" s="47">
        <v>2024</v>
      </c>
      <c r="B196" s="47" t="s">
        <v>992</v>
      </c>
      <c r="C196" s="47" t="s">
        <v>5637</v>
      </c>
      <c r="D196" s="50" t="s">
        <v>993</v>
      </c>
      <c r="E196" s="47" t="s">
        <v>8981</v>
      </c>
      <c r="F196" s="49">
        <v>45054.959166516201</v>
      </c>
      <c r="G196" s="47" t="s">
        <v>8993</v>
      </c>
      <c r="H196" s="47">
        <v>0</v>
      </c>
      <c r="I196" s="57">
        <v>58.1279955748494</v>
      </c>
      <c r="J196" s="57">
        <v>18</v>
      </c>
      <c r="K196" s="57">
        <v>12</v>
      </c>
      <c r="L196" s="57">
        <v>8</v>
      </c>
    </row>
    <row r="197" spans="1:12" ht="26.45">
      <c r="A197" s="44">
        <v>2024</v>
      </c>
      <c r="B197" s="44" t="s">
        <v>309</v>
      </c>
      <c r="C197" s="44" t="s">
        <v>5642</v>
      </c>
      <c r="D197" s="46" t="s">
        <v>994</v>
      </c>
      <c r="E197" s="44" t="s">
        <v>8981</v>
      </c>
      <c r="F197" s="51">
        <v>45028.747377083302</v>
      </c>
      <c r="G197" s="44" t="s">
        <v>8993</v>
      </c>
      <c r="H197" s="44">
        <v>5</v>
      </c>
      <c r="I197" s="56">
        <v>30.0590515205452</v>
      </c>
      <c r="J197" s="56">
        <v>18</v>
      </c>
      <c r="K197" s="56">
        <v>2.1800000000000002</v>
      </c>
      <c r="L197" s="56">
        <v>2.1800000000000002</v>
      </c>
    </row>
    <row r="198" spans="1:12" ht="26.45">
      <c r="A198" s="47">
        <v>2024</v>
      </c>
      <c r="B198" s="47" t="s">
        <v>311</v>
      </c>
      <c r="C198" s="47" t="s">
        <v>5708</v>
      </c>
      <c r="D198" s="50" t="s">
        <v>996</v>
      </c>
      <c r="E198" s="47" t="s">
        <v>8991</v>
      </c>
      <c r="F198" s="49">
        <v>45020.816796562503</v>
      </c>
      <c r="G198" s="47" t="s">
        <v>8995</v>
      </c>
      <c r="H198" s="47"/>
      <c r="I198" s="57">
        <v>0</v>
      </c>
      <c r="J198" s="57">
        <v>0</v>
      </c>
      <c r="K198" s="57">
        <v>0</v>
      </c>
      <c r="L198" s="57">
        <v>0</v>
      </c>
    </row>
    <row r="199" spans="1:12" ht="26.45">
      <c r="A199" s="44">
        <v>2024</v>
      </c>
      <c r="B199" s="44" t="s">
        <v>312</v>
      </c>
      <c r="C199" s="44" t="s">
        <v>5716</v>
      </c>
      <c r="D199" s="46" t="s">
        <v>997</v>
      </c>
      <c r="E199" s="44" t="s">
        <v>8981</v>
      </c>
      <c r="F199" s="51">
        <v>45001.829893981499</v>
      </c>
      <c r="G199" s="44" t="s">
        <v>8993</v>
      </c>
      <c r="H199" s="44">
        <v>16</v>
      </c>
      <c r="I199" s="56">
        <v>27.780056090155501</v>
      </c>
      <c r="J199" s="56">
        <v>18</v>
      </c>
      <c r="K199" s="56">
        <v>4.78</v>
      </c>
      <c r="L199" s="56">
        <v>4.78</v>
      </c>
    </row>
    <row r="200" spans="1:12" ht="26.45">
      <c r="A200" s="47">
        <v>2024</v>
      </c>
      <c r="B200" s="47" t="s">
        <v>313</v>
      </c>
      <c r="C200" s="47" t="s">
        <v>5735</v>
      </c>
      <c r="D200" s="50" t="s">
        <v>998</v>
      </c>
      <c r="E200" s="47" t="s">
        <v>8981</v>
      </c>
      <c r="F200" s="49">
        <v>45044.941139317103</v>
      </c>
      <c r="G200" s="47" t="s">
        <v>8993</v>
      </c>
      <c r="H200" s="47">
        <v>1</v>
      </c>
      <c r="I200" s="57">
        <v>32.089836923263</v>
      </c>
      <c r="J200" s="57">
        <v>18</v>
      </c>
      <c r="K200" s="57">
        <v>6.63</v>
      </c>
      <c r="L200" s="57">
        <v>6.63</v>
      </c>
    </row>
    <row r="201" spans="1:12" ht="26.45">
      <c r="A201" s="44">
        <v>2024</v>
      </c>
      <c r="B201" s="44" t="s">
        <v>315</v>
      </c>
      <c r="C201" s="44" t="s">
        <v>5773</v>
      </c>
      <c r="D201" s="46" t="s">
        <v>1004</v>
      </c>
      <c r="E201" s="44" t="s">
        <v>8981</v>
      </c>
      <c r="F201" s="51">
        <v>45042.898002928203</v>
      </c>
      <c r="G201" s="44" t="s">
        <v>8984</v>
      </c>
      <c r="H201" s="44">
        <v>0</v>
      </c>
      <c r="I201" s="56">
        <v>42.096453268806499</v>
      </c>
      <c r="J201" s="56">
        <v>18</v>
      </c>
      <c r="K201" s="56">
        <v>8.4499999999999993</v>
      </c>
      <c r="L201" s="56">
        <v>8</v>
      </c>
    </row>
    <row r="202" spans="1:12" ht="26.45">
      <c r="A202" s="47">
        <v>2024</v>
      </c>
      <c r="B202" s="47" t="s">
        <v>316</v>
      </c>
      <c r="C202" s="47" t="s">
        <v>5789</v>
      </c>
      <c r="D202" s="50" t="s">
        <v>1005</v>
      </c>
      <c r="E202" s="47" t="s">
        <v>8981</v>
      </c>
      <c r="F202" s="49">
        <v>45001.948084988398</v>
      </c>
      <c r="G202" s="47" t="s">
        <v>8983</v>
      </c>
      <c r="H202" s="47">
        <v>15</v>
      </c>
      <c r="I202" s="57">
        <v>26.568146181303099</v>
      </c>
      <c r="J202" s="57">
        <v>18</v>
      </c>
      <c r="K202" s="57">
        <v>0.53</v>
      </c>
      <c r="L202" s="57">
        <v>0.53</v>
      </c>
    </row>
    <row r="203" spans="1:12" ht="39.6">
      <c r="A203" s="44">
        <v>2024</v>
      </c>
      <c r="B203" s="44" t="s">
        <v>5806</v>
      </c>
      <c r="C203" s="44" t="s">
        <v>5807</v>
      </c>
      <c r="D203" s="46" t="s">
        <v>5808</v>
      </c>
      <c r="E203" s="44" t="s">
        <v>8986</v>
      </c>
      <c r="F203" s="51">
        <v>45188.6397274306</v>
      </c>
      <c r="G203" s="44" t="s">
        <v>8993</v>
      </c>
      <c r="H203" s="44">
        <v>6</v>
      </c>
      <c r="I203" s="56">
        <v>0</v>
      </c>
      <c r="J203" s="56">
        <v>0</v>
      </c>
      <c r="K203" s="56">
        <v>0</v>
      </c>
      <c r="L203" s="56">
        <v>0</v>
      </c>
    </row>
    <row r="204" spans="1:12" ht="26.45">
      <c r="A204" s="47">
        <v>2024</v>
      </c>
      <c r="B204" s="47" t="s">
        <v>1010</v>
      </c>
      <c r="C204" s="47" t="s">
        <v>5841</v>
      </c>
      <c r="D204" s="50" t="s">
        <v>1011</v>
      </c>
      <c r="E204" s="47" t="s">
        <v>8981</v>
      </c>
      <c r="F204" s="49">
        <v>45203.928444444398</v>
      </c>
      <c r="G204" s="47" t="s">
        <v>8993</v>
      </c>
      <c r="H204" s="47">
        <v>0</v>
      </c>
      <c r="I204" s="57">
        <v>59.184749439106902</v>
      </c>
      <c r="J204" s="57">
        <v>18</v>
      </c>
      <c r="K204" s="57">
        <v>0</v>
      </c>
      <c r="L204" s="57">
        <v>0</v>
      </c>
    </row>
    <row r="205" spans="1:12" ht="26.45">
      <c r="A205" s="44">
        <v>2024</v>
      </c>
      <c r="B205" s="44" t="s">
        <v>317</v>
      </c>
      <c r="C205" s="44" t="s">
        <v>5867</v>
      </c>
      <c r="D205" s="46" t="s">
        <v>1014</v>
      </c>
      <c r="E205" s="44" t="s">
        <v>8981</v>
      </c>
      <c r="F205" s="51">
        <v>45006.771399039397</v>
      </c>
      <c r="G205" s="44" t="s">
        <v>8984</v>
      </c>
      <c r="H205" s="44">
        <v>5</v>
      </c>
      <c r="I205" s="56">
        <v>29.007836522291299</v>
      </c>
      <c r="J205" s="56">
        <v>18</v>
      </c>
      <c r="K205" s="56">
        <v>8.4</v>
      </c>
      <c r="L205" s="56">
        <v>8</v>
      </c>
    </row>
    <row r="206" spans="1:12" ht="26.45">
      <c r="A206" s="47">
        <v>2024</v>
      </c>
      <c r="B206" s="47" t="s">
        <v>318</v>
      </c>
      <c r="C206" s="47" t="s">
        <v>5879</v>
      </c>
      <c r="D206" s="50" t="s">
        <v>1015</v>
      </c>
      <c r="E206" s="47" t="s">
        <v>8981</v>
      </c>
      <c r="F206" s="49">
        <v>45015.764893437503</v>
      </c>
      <c r="G206" s="47" t="s">
        <v>8984</v>
      </c>
      <c r="H206" s="47">
        <v>9</v>
      </c>
      <c r="I206" s="57">
        <v>43.427745031374002</v>
      </c>
      <c r="J206" s="57">
        <v>18</v>
      </c>
      <c r="K206" s="57">
        <v>12</v>
      </c>
      <c r="L206" s="57">
        <v>8</v>
      </c>
    </row>
    <row r="207" spans="1:12" ht="26.45">
      <c r="A207" s="44">
        <v>2024</v>
      </c>
      <c r="B207" s="44" t="s">
        <v>319</v>
      </c>
      <c r="C207" s="44" t="s">
        <v>5892</v>
      </c>
      <c r="D207" s="46" t="s">
        <v>1018</v>
      </c>
      <c r="E207" s="44" t="s">
        <v>8981</v>
      </c>
      <c r="F207" s="51">
        <v>45057.7187710301</v>
      </c>
      <c r="G207" s="44" t="s">
        <v>8993</v>
      </c>
      <c r="H207" s="44">
        <v>0</v>
      </c>
      <c r="I207" s="56">
        <v>56.714367165326998</v>
      </c>
      <c r="J207" s="56">
        <v>18</v>
      </c>
      <c r="K207" s="56">
        <v>12</v>
      </c>
      <c r="L207" s="56">
        <v>8</v>
      </c>
    </row>
    <row r="208" spans="1:12" ht="26.45">
      <c r="A208" s="47">
        <v>2024</v>
      </c>
      <c r="B208" s="47" t="s">
        <v>322</v>
      </c>
      <c r="C208" s="47" t="s">
        <v>5925</v>
      </c>
      <c r="D208" s="50" t="s">
        <v>1021</v>
      </c>
      <c r="E208" s="47" t="s">
        <v>8981</v>
      </c>
      <c r="F208" s="49">
        <v>45014.881467708299</v>
      </c>
      <c r="G208" s="47" t="s">
        <v>8987</v>
      </c>
      <c r="H208" s="47">
        <v>6</v>
      </c>
      <c r="I208" s="57">
        <v>49.661835061667503</v>
      </c>
      <c r="J208" s="57">
        <v>18</v>
      </c>
      <c r="K208" s="57">
        <v>5.24</v>
      </c>
      <c r="L208" s="57">
        <v>5.24</v>
      </c>
    </row>
    <row r="209" spans="1:12" ht="26.45">
      <c r="A209" s="44">
        <v>2024</v>
      </c>
      <c r="B209" s="44" t="s">
        <v>323</v>
      </c>
      <c r="C209" s="44" t="s">
        <v>5940</v>
      </c>
      <c r="D209" s="46" t="s">
        <v>1024</v>
      </c>
      <c r="E209" s="44" t="s">
        <v>8981</v>
      </c>
      <c r="F209" s="51">
        <v>45091.709489351902</v>
      </c>
      <c r="G209" s="44" t="s">
        <v>8990</v>
      </c>
      <c r="H209" s="44">
        <v>6</v>
      </c>
      <c r="I209" s="56">
        <v>26.205942920406599</v>
      </c>
      <c r="J209" s="56">
        <v>18</v>
      </c>
      <c r="K209" s="56">
        <v>1.94</v>
      </c>
      <c r="L209" s="56">
        <v>1.94</v>
      </c>
    </row>
    <row r="210" spans="1:12" ht="26.45">
      <c r="A210" s="47">
        <v>2024</v>
      </c>
      <c r="B210" s="47" t="s">
        <v>324</v>
      </c>
      <c r="C210" s="47" t="s">
        <v>5948</v>
      </c>
      <c r="D210" s="50" t="s">
        <v>1025</v>
      </c>
      <c r="E210" s="47" t="s">
        <v>8991</v>
      </c>
      <c r="F210" s="49">
        <v>45020.721066284699</v>
      </c>
      <c r="G210" s="47" t="s">
        <v>8996</v>
      </c>
      <c r="H210" s="47"/>
      <c r="I210" s="57">
        <v>0</v>
      </c>
      <c r="J210" s="57">
        <v>0</v>
      </c>
      <c r="K210" s="57">
        <v>0</v>
      </c>
      <c r="L210" s="57">
        <v>0</v>
      </c>
    </row>
    <row r="211" spans="1:12" ht="26.45">
      <c r="A211" s="44">
        <v>2024</v>
      </c>
      <c r="B211" s="44" t="s">
        <v>325</v>
      </c>
      <c r="C211" s="44" t="s">
        <v>5957</v>
      </c>
      <c r="D211" s="46" t="s">
        <v>1026</v>
      </c>
      <c r="E211" s="44" t="s">
        <v>8981</v>
      </c>
      <c r="F211" s="51">
        <v>45012.861043946803</v>
      </c>
      <c r="G211" s="44" t="s">
        <v>8988</v>
      </c>
      <c r="H211" s="44">
        <v>3</v>
      </c>
      <c r="I211" s="56">
        <v>21.7313171106006</v>
      </c>
      <c r="J211" s="56">
        <v>18</v>
      </c>
      <c r="K211" s="56">
        <v>3.59</v>
      </c>
      <c r="L211" s="56">
        <v>3.59</v>
      </c>
    </row>
    <row r="212" spans="1:12" ht="26.45">
      <c r="A212" s="47">
        <v>2024</v>
      </c>
      <c r="B212" s="47" t="s">
        <v>326</v>
      </c>
      <c r="C212" s="47" t="s">
        <v>5973</v>
      </c>
      <c r="D212" s="50" t="s">
        <v>1029</v>
      </c>
      <c r="E212" s="47" t="s">
        <v>8981</v>
      </c>
      <c r="F212" s="49">
        <v>45070.767508530102</v>
      </c>
      <c r="G212" s="47" t="s">
        <v>8989</v>
      </c>
      <c r="H212" s="47">
        <v>0</v>
      </c>
      <c r="I212" s="57">
        <v>22.150467167820899</v>
      </c>
      <c r="J212" s="57">
        <v>18</v>
      </c>
      <c r="K212" s="57">
        <v>12</v>
      </c>
      <c r="L212" s="57">
        <v>8</v>
      </c>
    </row>
    <row r="213" spans="1:12" ht="26.45">
      <c r="A213" s="44">
        <v>2024</v>
      </c>
      <c r="B213" s="44" t="s">
        <v>327</v>
      </c>
      <c r="C213" s="44" t="s">
        <v>5986</v>
      </c>
      <c r="D213" s="46" t="s">
        <v>1030</v>
      </c>
      <c r="E213" s="44" t="s">
        <v>8981</v>
      </c>
      <c r="F213" s="51">
        <v>45002.9008791667</v>
      </c>
      <c r="G213" s="44" t="s">
        <v>8990</v>
      </c>
      <c r="H213" s="44">
        <v>4</v>
      </c>
      <c r="I213" s="56">
        <v>29.544508756470599</v>
      </c>
      <c r="J213" s="56">
        <v>18</v>
      </c>
      <c r="K213" s="56">
        <v>9.15</v>
      </c>
      <c r="L213" s="56">
        <v>8</v>
      </c>
    </row>
    <row r="214" spans="1:12" ht="26.45">
      <c r="A214" s="47">
        <v>2024</v>
      </c>
      <c r="B214" s="47" t="s">
        <v>1034</v>
      </c>
      <c r="C214" s="47" t="s">
        <v>6021</v>
      </c>
      <c r="D214" s="50" t="s">
        <v>1035</v>
      </c>
      <c r="E214" s="47" t="s">
        <v>8981</v>
      </c>
      <c r="F214" s="49">
        <v>45028.853273182896</v>
      </c>
      <c r="G214" s="47" t="s">
        <v>8987</v>
      </c>
      <c r="H214" s="47">
        <v>2</v>
      </c>
      <c r="I214" s="57">
        <v>29.7848059126081</v>
      </c>
      <c r="J214" s="57">
        <v>18</v>
      </c>
      <c r="K214" s="57">
        <v>6.77</v>
      </c>
      <c r="L214" s="57">
        <v>6.77</v>
      </c>
    </row>
    <row r="215" spans="1:12" ht="26.45">
      <c r="A215" s="44">
        <v>2024</v>
      </c>
      <c r="B215" s="44" t="s">
        <v>333</v>
      </c>
      <c r="C215" s="44" t="s">
        <v>6069</v>
      </c>
      <c r="D215" s="46" t="s">
        <v>1044</v>
      </c>
      <c r="E215" s="44" t="s">
        <v>8981</v>
      </c>
      <c r="F215" s="51">
        <v>45034.794130405098</v>
      </c>
      <c r="G215" s="44" t="s">
        <v>8982</v>
      </c>
      <c r="H215" s="44">
        <v>19</v>
      </c>
      <c r="I215" s="56">
        <v>26.219558776701</v>
      </c>
      <c r="J215" s="56">
        <v>18</v>
      </c>
      <c r="K215" s="56">
        <v>12</v>
      </c>
      <c r="L215" s="56">
        <v>8</v>
      </c>
    </row>
    <row r="216" spans="1:12" ht="26.45">
      <c r="A216" s="47">
        <v>2024</v>
      </c>
      <c r="B216" s="47" t="s">
        <v>339</v>
      </c>
      <c r="C216" s="47" t="s">
        <v>6130</v>
      </c>
      <c r="D216" s="50" t="s">
        <v>1050</v>
      </c>
      <c r="E216" s="47" t="s">
        <v>8981</v>
      </c>
      <c r="F216" s="49">
        <v>44985.804353854197</v>
      </c>
      <c r="G216" s="47" t="s">
        <v>8988</v>
      </c>
      <c r="H216" s="47">
        <v>0</v>
      </c>
      <c r="I216" s="57">
        <v>54.789872579983403</v>
      </c>
      <c r="J216" s="57">
        <v>18</v>
      </c>
      <c r="K216" s="57">
        <v>0</v>
      </c>
      <c r="L216" s="57">
        <v>0</v>
      </c>
    </row>
    <row r="217" spans="1:12" ht="26.45">
      <c r="A217" s="44">
        <v>2024</v>
      </c>
      <c r="B217" s="44" t="s">
        <v>340</v>
      </c>
      <c r="C217" s="44" t="s">
        <v>6143</v>
      </c>
      <c r="D217" s="46" t="s">
        <v>1050</v>
      </c>
      <c r="E217" s="44" t="s">
        <v>8981</v>
      </c>
      <c r="F217" s="51">
        <v>44985.804496377299</v>
      </c>
      <c r="G217" s="44" t="s">
        <v>8988</v>
      </c>
      <c r="H217" s="44">
        <v>0</v>
      </c>
      <c r="I217" s="56">
        <v>45.007828922957302</v>
      </c>
      <c r="J217" s="56">
        <v>18</v>
      </c>
      <c r="K217" s="56">
        <v>0</v>
      </c>
      <c r="L217" s="56">
        <v>0</v>
      </c>
    </row>
    <row r="218" spans="1:12" ht="26.45">
      <c r="A218" s="47">
        <v>2024</v>
      </c>
      <c r="B218" s="47" t="s">
        <v>341</v>
      </c>
      <c r="C218" s="47" t="s">
        <v>6147</v>
      </c>
      <c r="D218" s="50" t="s">
        <v>1051</v>
      </c>
      <c r="E218" s="47" t="s">
        <v>8981</v>
      </c>
      <c r="F218" s="49">
        <v>45002.626092592604</v>
      </c>
      <c r="G218" s="47" t="s">
        <v>8988</v>
      </c>
      <c r="H218" s="47">
        <v>16</v>
      </c>
      <c r="I218" s="57">
        <v>27.876095629826601</v>
      </c>
      <c r="J218" s="57">
        <v>18</v>
      </c>
      <c r="K218" s="57">
        <v>12</v>
      </c>
      <c r="L218" s="57">
        <v>8</v>
      </c>
    </row>
    <row r="219" spans="1:12" ht="26.45">
      <c r="A219" s="44">
        <v>2024</v>
      </c>
      <c r="B219" s="44" t="s">
        <v>6157</v>
      </c>
      <c r="C219" s="44" t="s">
        <v>6158</v>
      </c>
      <c r="D219" s="46" t="s">
        <v>6159</v>
      </c>
      <c r="E219" s="44" t="s">
        <v>8981</v>
      </c>
      <c r="F219" s="51">
        <v>45300.627052858799</v>
      </c>
      <c r="G219" s="44" t="s">
        <v>8984</v>
      </c>
      <c r="H219" s="44">
        <v>22</v>
      </c>
      <c r="I219" s="56">
        <v>15.947897521636101</v>
      </c>
      <c r="J219" s="56">
        <v>15.947897521636101</v>
      </c>
      <c r="K219" s="56">
        <v>12</v>
      </c>
      <c r="L219" s="56">
        <v>8</v>
      </c>
    </row>
    <row r="220" spans="1:12" ht="26.45">
      <c r="A220" s="47">
        <v>2024</v>
      </c>
      <c r="B220" s="47" t="s">
        <v>344</v>
      </c>
      <c r="C220" s="47" t="s">
        <v>6197</v>
      </c>
      <c r="D220" s="50" t="s">
        <v>1054</v>
      </c>
      <c r="E220" s="47" t="s">
        <v>8981</v>
      </c>
      <c r="F220" s="49">
        <v>45043.840908796301</v>
      </c>
      <c r="G220" s="47" t="s">
        <v>8988</v>
      </c>
      <c r="H220" s="47">
        <v>3</v>
      </c>
      <c r="I220" s="57">
        <v>45.8275014667772</v>
      </c>
      <c r="J220" s="57">
        <v>18</v>
      </c>
      <c r="K220" s="57">
        <v>2.96</v>
      </c>
      <c r="L220" s="57">
        <v>2.96</v>
      </c>
    </row>
    <row r="221" spans="1:12" ht="26.45">
      <c r="A221" s="44">
        <v>2024</v>
      </c>
      <c r="B221" s="44" t="s">
        <v>345</v>
      </c>
      <c r="C221" s="44" t="s">
        <v>6204</v>
      </c>
      <c r="D221" s="46" t="s">
        <v>1055</v>
      </c>
      <c r="E221" s="44" t="s">
        <v>8981</v>
      </c>
      <c r="F221" s="51">
        <v>45005.902044479197</v>
      </c>
      <c r="G221" s="44" t="s">
        <v>8989</v>
      </c>
      <c r="H221" s="44">
        <v>0</v>
      </c>
      <c r="I221" s="56">
        <v>0</v>
      </c>
      <c r="J221" s="56">
        <v>0</v>
      </c>
      <c r="K221" s="56">
        <v>12</v>
      </c>
      <c r="L221" s="56">
        <v>8</v>
      </c>
    </row>
    <row r="222" spans="1:12" ht="26.45">
      <c r="A222" s="47">
        <v>2024</v>
      </c>
      <c r="B222" s="47" t="s">
        <v>346</v>
      </c>
      <c r="C222" s="47" t="s">
        <v>6212</v>
      </c>
      <c r="D222" s="50" t="s">
        <v>1056</v>
      </c>
      <c r="E222" s="47" t="s">
        <v>8981</v>
      </c>
      <c r="F222" s="49">
        <v>45035.764894988402</v>
      </c>
      <c r="G222" s="47" t="s">
        <v>8988</v>
      </c>
      <c r="H222" s="47">
        <v>1</v>
      </c>
      <c r="I222" s="57">
        <v>13.926943833859299</v>
      </c>
      <c r="J222" s="57">
        <v>13.926943833859299</v>
      </c>
      <c r="K222" s="57">
        <v>5.83</v>
      </c>
      <c r="L222" s="57">
        <v>5.83</v>
      </c>
    </row>
    <row r="223" spans="1:12" ht="26.45">
      <c r="A223" s="44">
        <v>2024</v>
      </c>
      <c r="B223" s="44" t="s">
        <v>352</v>
      </c>
      <c r="C223" s="44" t="s">
        <v>6380</v>
      </c>
      <c r="D223" s="46" t="s">
        <v>1070</v>
      </c>
      <c r="E223" s="44" t="s">
        <v>8981</v>
      </c>
      <c r="F223" s="51">
        <v>45005.842790127303</v>
      </c>
      <c r="G223" s="44" t="s">
        <v>8989</v>
      </c>
      <c r="H223" s="44">
        <v>14</v>
      </c>
      <c r="I223" s="56">
        <v>29.231371181799702</v>
      </c>
      <c r="J223" s="56">
        <v>18</v>
      </c>
      <c r="K223" s="56">
        <v>6.54</v>
      </c>
      <c r="L223" s="56">
        <v>6.54</v>
      </c>
    </row>
    <row r="224" spans="1:12" ht="26.45">
      <c r="A224" s="47">
        <v>2024</v>
      </c>
      <c r="B224" s="47" t="s">
        <v>1071</v>
      </c>
      <c r="C224" s="47" t="s">
        <v>6387</v>
      </c>
      <c r="D224" s="50" t="s">
        <v>1072</v>
      </c>
      <c r="E224" s="47" t="s">
        <v>8981</v>
      </c>
      <c r="F224" s="49">
        <v>45056.802280555603</v>
      </c>
      <c r="G224" s="47" t="s">
        <v>8988</v>
      </c>
      <c r="H224" s="47">
        <v>0</v>
      </c>
      <c r="I224" s="57">
        <v>61.7966358657401</v>
      </c>
      <c r="J224" s="57">
        <v>18</v>
      </c>
      <c r="K224" s="57">
        <v>12</v>
      </c>
      <c r="L224" s="57">
        <v>8</v>
      </c>
    </row>
    <row r="225" spans="1:12" ht="26.45">
      <c r="A225" s="44">
        <v>2024</v>
      </c>
      <c r="B225" s="44" t="s">
        <v>1073</v>
      </c>
      <c r="C225" s="44" t="s">
        <v>6391</v>
      </c>
      <c r="D225" s="46" t="s">
        <v>1074</v>
      </c>
      <c r="E225" s="44" t="s">
        <v>8981</v>
      </c>
      <c r="F225" s="51">
        <v>45047.844144212999</v>
      </c>
      <c r="G225" s="44" t="s">
        <v>8988</v>
      </c>
      <c r="H225" s="44">
        <v>1</v>
      </c>
      <c r="I225" s="56">
        <v>0</v>
      </c>
      <c r="J225" s="56">
        <v>0</v>
      </c>
      <c r="K225" s="56">
        <v>12</v>
      </c>
      <c r="L225" s="56">
        <v>8</v>
      </c>
    </row>
    <row r="226" spans="1:12" ht="39.6">
      <c r="A226" s="47">
        <v>2024</v>
      </c>
      <c r="B226" s="47" t="s">
        <v>6425</v>
      </c>
      <c r="C226" s="47" t="s">
        <v>6426</v>
      </c>
      <c r="D226" s="50" t="s">
        <v>6427</v>
      </c>
      <c r="E226" s="47" t="s">
        <v>8986</v>
      </c>
      <c r="F226" s="49">
        <v>45307.6664256597</v>
      </c>
      <c r="G226" s="47" t="s">
        <v>8997</v>
      </c>
      <c r="H226" s="47">
        <v>12</v>
      </c>
      <c r="I226" s="57">
        <v>0</v>
      </c>
      <c r="J226" s="57">
        <v>0</v>
      </c>
      <c r="K226" s="57">
        <v>0</v>
      </c>
      <c r="L226" s="57">
        <v>0</v>
      </c>
    </row>
    <row r="227" spans="1:12" ht="26.45">
      <c r="A227" s="44">
        <v>2024</v>
      </c>
      <c r="B227" s="44" t="s">
        <v>354</v>
      </c>
      <c r="C227" s="44" t="s">
        <v>6482</v>
      </c>
      <c r="D227" s="46" t="s">
        <v>1078</v>
      </c>
      <c r="E227" s="44" t="s">
        <v>8981</v>
      </c>
      <c r="F227" s="51">
        <v>45063.874407719901</v>
      </c>
      <c r="G227" s="44" t="s">
        <v>8989</v>
      </c>
      <c r="H227" s="44">
        <v>1</v>
      </c>
      <c r="I227" s="56">
        <v>16.6974564553697</v>
      </c>
      <c r="J227" s="56">
        <v>16.6974564553697</v>
      </c>
      <c r="K227" s="56">
        <v>12</v>
      </c>
      <c r="L227" s="56">
        <v>8</v>
      </c>
    </row>
    <row r="228" spans="1:12" ht="26.45">
      <c r="A228" s="47">
        <v>2024</v>
      </c>
      <c r="B228" s="47" t="s">
        <v>356</v>
      </c>
      <c r="C228" s="47" t="s">
        <v>6521</v>
      </c>
      <c r="D228" s="50" t="s">
        <v>1082</v>
      </c>
      <c r="E228" s="47" t="s">
        <v>8981</v>
      </c>
      <c r="F228" s="49">
        <v>45135.722719641199</v>
      </c>
      <c r="G228" s="47" t="s">
        <v>8988</v>
      </c>
      <c r="H228" s="47">
        <v>7</v>
      </c>
      <c r="I228" s="57">
        <v>30.159351516000999</v>
      </c>
      <c r="J228" s="57">
        <v>18</v>
      </c>
      <c r="K228" s="57">
        <v>8.0399999999999991</v>
      </c>
      <c r="L228" s="57">
        <v>8</v>
      </c>
    </row>
    <row r="229" spans="1:12" ht="26.45">
      <c r="A229" s="44">
        <v>2024</v>
      </c>
      <c r="B229" s="44" t="s">
        <v>359</v>
      </c>
      <c r="C229" s="44" t="s">
        <v>6570</v>
      </c>
      <c r="D229" s="46" t="s">
        <v>1087</v>
      </c>
      <c r="E229" s="44" t="s">
        <v>8981</v>
      </c>
      <c r="F229" s="51">
        <v>45023.895983680603</v>
      </c>
      <c r="G229" s="44" t="s">
        <v>8984</v>
      </c>
      <c r="H229" s="44">
        <v>7</v>
      </c>
      <c r="I229" s="56">
        <v>33.577143265866802</v>
      </c>
      <c r="J229" s="56">
        <v>18</v>
      </c>
      <c r="K229" s="56">
        <v>4.95</v>
      </c>
      <c r="L229" s="56">
        <v>4.95</v>
      </c>
    </row>
    <row r="230" spans="1:12" ht="26.45">
      <c r="A230" s="47">
        <v>2024</v>
      </c>
      <c r="B230" s="47" t="s">
        <v>360</v>
      </c>
      <c r="C230" s="47" t="s">
        <v>6576</v>
      </c>
      <c r="D230" s="50" t="s">
        <v>1088</v>
      </c>
      <c r="E230" s="47" t="s">
        <v>8991</v>
      </c>
      <c r="F230" s="49">
        <v>45145.912908182901</v>
      </c>
      <c r="G230" s="47" t="s">
        <v>8998</v>
      </c>
      <c r="H230" s="47"/>
      <c r="I230" s="57">
        <v>0</v>
      </c>
      <c r="J230" s="57">
        <v>0</v>
      </c>
      <c r="K230" s="57">
        <v>0</v>
      </c>
      <c r="L230" s="57">
        <v>0</v>
      </c>
    </row>
    <row r="231" spans="1:12" ht="26.45">
      <c r="A231" s="44">
        <v>2024</v>
      </c>
      <c r="B231" s="44" t="s">
        <v>362</v>
      </c>
      <c r="C231" s="44" t="s">
        <v>6596</v>
      </c>
      <c r="D231" s="46" t="s">
        <v>1090</v>
      </c>
      <c r="E231" s="44" t="s">
        <v>8981</v>
      </c>
      <c r="F231" s="51">
        <v>45009.965049999999</v>
      </c>
      <c r="G231" s="44" t="s">
        <v>8988</v>
      </c>
      <c r="H231" s="44">
        <v>3</v>
      </c>
      <c r="I231" s="56">
        <v>27.620617336265099</v>
      </c>
      <c r="J231" s="56">
        <v>18</v>
      </c>
      <c r="K231" s="56">
        <v>7</v>
      </c>
      <c r="L231" s="56">
        <v>7</v>
      </c>
    </row>
    <row r="232" spans="1:12" ht="26.45">
      <c r="A232" s="47">
        <v>2024</v>
      </c>
      <c r="B232" s="47" t="s">
        <v>363</v>
      </c>
      <c r="C232" s="47" t="s">
        <v>6604</v>
      </c>
      <c r="D232" s="50" t="s">
        <v>1091</v>
      </c>
      <c r="E232" s="47" t="s">
        <v>8981</v>
      </c>
      <c r="F232" s="49">
        <v>45002.621974340298</v>
      </c>
      <c r="G232" s="47" t="s">
        <v>8988</v>
      </c>
      <c r="H232" s="47">
        <v>17</v>
      </c>
      <c r="I232" s="57">
        <v>47.684034376953001</v>
      </c>
      <c r="J232" s="57">
        <v>18</v>
      </c>
      <c r="K232" s="57">
        <v>12</v>
      </c>
      <c r="L232" s="57">
        <v>8</v>
      </c>
    </row>
    <row r="233" spans="1:12" ht="26.45">
      <c r="A233" s="44">
        <v>2024</v>
      </c>
      <c r="B233" s="44" t="s">
        <v>364</v>
      </c>
      <c r="C233" s="44" t="s">
        <v>6611</v>
      </c>
      <c r="D233" s="46" t="s">
        <v>1092</v>
      </c>
      <c r="E233" s="44" t="s">
        <v>8981</v>
      </c>
      <c r="F233" s="51">
        <v>45020.924546180599</v>
      </c>
      <c r="G233" s="44" t="s">
        <v>8989</v>
      </c>
      <c r="H233" s="44">
        <v>31</v>
      </c>
      <c r="I233" s="56">
        <v>25.891443957664901</v>
      </c>
      <c r="J233" s="56">
        <v>18</v>
      </c>
      <c r="K233" s="56">
        <v>5.45</v>
      </c>
      <c r="L233" s="56">
        <v>5.45</v>
      </c>
    </row>
    <row r="234" spans="1:12" ht="26.45">
      <c r="A234" s="47">
        <v>2024</v>
      </c>
      <c r="B234" s="47" t="s">
        <v>366</v>
      </c>
      <c r="C234" s="47" t="s">
        <v>6627</v>
      </c>
      <c r="D234" s="50" t="s">
        <v>1094</v>
      </c>
      <c r="E234" s="47" t="s">
        <v>8981</v>
      </c>
      <c r="F234" s="49">
        <v>45012.856484294003</v>
      </c>
      <c r="G234" s="47" t="s">
        <v>8988</v>
      </c>
      <c r="H234" s="47">
        <v>4</v>
      </c>
      <c r="I234" s="57">
        <v>24.613185807016901</v>
      </c>
      <c r="J234" s="57">
        <v>18</v>
      </c>
      <c r="K234" s="57">
        <v>9.4600000000000009</v>
      </c>
      <c r="L234" s="57">
        <v>8</v>
      </c>
    </row>
    <row r="235" spans="1:12" ht="26.45">
      <c r="A235" s="44">
        <v>2024</v>
      </c>
      <c r="B235" s="44" t="s">
        <v>368</v>
      </c>
      <c r="C235" s="44" t="s">
        <v>6658</v>
      </c>
      <c r="D235" s="46" t="s">
        <v>1096</v>
      </c>
      <c r="E235" s="44" t="s">
        <v>8981</v>
      </c>
      <c r="F235" s="51">
        <v>45141.722444756902</v>
      </c>
      <c r="G235" s="44" t="s">
        <v>8985</v>
      </c>
      <c r="H235" s="44">
        <v>1</v>
      </c>
      <c r="I235" s="56">
        <v>36.569960756680203</v>
      </c>
      <c r="J235" s="56">
        <v>18</v>
      </c>
      <c r="K235" s="56">
        <v>12</v>
      </c>
      <c r="L235" s="56">
        <v>8</v>
      </c>
    </row>
    <row r="236" spans="1:12" ht="26.45">
      <c r="A236" s="47">
        <v>2024</v>
      </c>
      <c r="B236" s="47" t="s">
        <v>369</v>
      </c>
      <c r="C236" s="47" t="s">
        <v>6672</v>
      </c>
      <c r="D236" s="50" t="s">
        <v>1099</v>
      </c>
      <c r="E236" s="47" t="s">
        <v>8981</v>
      </c>
      <c r="F236" s="49">
        <v>45021.977078900498</v>
      </c>
      <c r="G236" s="47" t="s">
        <v>8989</v>
      </c>
      <c r="H236" s="47">
        <v>0</v>
      </c>
      <c r="I236" s="57">
        <v>29.1538833547846</v>
      </c>
      <c r="J236" s="57">
        <v>18</v>
      </c>
      <c r="K236" s="57">
        <v>11.23</v>
      </c>
      <c r="L236" s="57">
        <v>8</v>
      </c>
    </row>
    <row r="237" spans="1:12" ht="26.45">
      <c r="A237" s="44">
        <v>2024</v>
      </c>
      <c r="B237" s="44" t="s">
        <v>1101</v>
      </c>
      <c r="C237" s="44" t="s">
        <v>6689</v>
      </c>
      <c r="D237" s="46" t="s">
        <v>1102</v>
      </c>
      <c r="E237" s="44" t="s">
        <v>8981</v>
      </c>
      <c r="F237" s="51">
        <v>45020.932154050897</v>
      </c>
      <c r="G237" s="44" t="s">
        <v>8989</v>
      </c>
      <c r="H237" s="44">
        <v>22</v>
      </c>
      <c r="I237" s="56">
        <v>47.808925922054598</v>
      </c>
      <c r="J237" s="56">
        <v>18</v>
      </c>
      <c r="K237" s="56">
        <v>12</v>
      </c>
      <c r="L237" s="56">
        <v>8</v>
      </c>
    </row>
    <row r="238" spans="1:12" ht="26.45">
      <c r="A238" s="47">
        <v>2024</v>
      </c>
      <c r="B238" s="47" t="s">
        <v>372</v>
      </c>
      <c r="C238" s="47" t="s">
        <v>6732</v>
      </c>
      <c r="D238" s="50" t="s">
        <v>1108</v>
      </c>
      <c r="E238" s="47" t="s">
        <v>8981</v>
      </c>
      <c r="F238" s="49">
        <v>45211.891009571802</v>
      </c>
      <c r="G238" s="47" t="s">
        <v>8990</v>
      </c>
      <c r="H238" s="47">
        <v>0</v>
      </c>
      <c r="I238" s="57">
        <v>23.6668300630385</v>
      </c>
      <c r="J238" s="57">
        <v>18</v>
      </c>
      <c r="K238" s="57">
        <v>5.74</v>
      </c>
      <c r="L238" s="57">
        <v>5.74</v>
      </c>
    </row>
    <row r="239" spans="1:12" ht="26.45">
      <c r="A239" s="44">
        <v>2024</v>
      </c>
      <c r="B239" s="44" t="s">
        <v>373</v>
      </c>
      <c r="C239" s="44" t="s">
        <v>6740</v>
      </c>
      <c r="D239" s="46" t="s">
        <v>1109</v>
      </c>
      <c r="E239" s="44" t="s">
        <v>8981</v>
      </c>
      <c r="F239" s="51">
        <v>45014.886814004603</v>
      </c>
      <c r="G239" s="44" t="s">
        <v>8987</v>
      </c>
      <c r="H239" s="44">
        <v>5</v>
      </c>
      <c r="I239" s="56">
        <v>72.300760984739</v>
      </c>
      <c r="J239" s="56">
        <v>18</v>
      </c>
      <c r="K239" s="56">
        <v>12</v>
      </c>
      <c r="L239" s="56">
        <v>8</v>
      </c>
    </row>
    <row r="240" spans="1:12" ht="26.45">
      <c r="A240" s="47">
        <v>2024</v>
      </c>
      <c r="B240" s="47" t="s">
        <v>375</v>
      </c>
      <c r="C240" s="47" t="s">
        <v>6764</v>
      </c>
      <c r="D240" s="50" t="s">
        <v>1111</v>
      </c>
      <c r="E240" s="47" t="s">
        <v>8981</v>
      </c>
      <c r="F240" s="49">
        <v>45006.752870219898</v>
      </c>
      <c r="G240" s="47" t="s">
        <v>8988</v>
      </c>
      <c r="H240" s="47">
        <v>1</v>
      </c>
      <c r="I240" s="57">
        <v>25.267049051741601</v>
      </c>
      <c r="J240" s="57">
        <v>18</v>
      </c>
      <c r="K240" s="57">
        <v>1.9</v>
      </c>
      <c r="L240" s="57">
        <v>1.9</v>
      </c>
    </row>
    <row r="241" spans="1:12" ht="26.45">
      <c r="A241" s="44">
        <v>2024</v>
      </c>
      <c r="B241" s="44" t="s">
        <v>1112</v>
      </c>
      <c r="C241" s="44" t="s">
        <v>6771</v>
      </c>
      <c r="D241" s="46" t="s">
        <v>1113</v>
      </c>
      <c r="E241" s="44" t="s">
        <v>8981</v>
      </c>
      <c r="F241" s="51">
        <v>45322.890423148201</v>
      </c>
      <c r="G241" s="44" t="s">
        <v>8988</v>
      </c>
      <c r="H241" s="44">
        <v>0</v>
      </c>
      <c r="I241" s="56">
        <v>36.816959040773199</v>
      </c>
      <c r="J241" s="56">
        <v>18</v>
      </c>
      <c r="K241" s="56">
        <v>12</v>
      </c>
      <c r="L241" s="56">
        <v>8</v>
      </c>
    </row>
    <row r="242" spans="1:12" ht="26.45">
      <c r="A242" s="47">
        <v>2024</v>
      </c>
      <c r="B242" s="47" t="s">
        <v>376</v>
      </c>
      <c r="C242" s="47" t="s">
        <v>6777</v>
      </c>
      <c r="D242" s="50" t="s">
        <v>1114</v>
      </c>
      <c r="E242" s="47" t="s">
        <v>8981</v>
      </c>
      <c r="F242" s="49">
        <v>45086.702095520799</v>
      </c>
      <c r="G242" s="47" t="s">
        <v>8988</v>
      </c>
      <c r="H242" s="47">
        <v>1</v>
      </c>
      <c r="I242" s="57">
        <v>24.081661423590202</v>
      </c>
      <c r="J242" s="57">
        <v>18</v>
      </c>
      <c r="K242" s="57">
        <v>2.91</v>
      </c>
      <c r="L242" s="57">
        <v>2.91</v>
      </c>
    </row>
    <row r="243" spans="1:12" ht="26.45">
      <c r="A243" s="44">
        <v>2024</v>
      </c>
      <c r="B243" s="44" t="s">
        <v>377</v>
      </c>
      <c r="C243" s="44" t="s">
        <v>6814</v>
      </c>
      <c r="D243" s="46" t="s">
        <v>1117</v>
      </c>
      <c r="E243" s="44" t="s">
        <v>8981</v>
      </c>
      <c r="F243" s="51">
        <v>45043.8512324884</v>
      </c>
      <c r="G243" s="44" t="s">
        <v>8988</v>
      </c>
      <c r="H243" s="44">
        <v>2</v>
      </c>
      <c r="I243" s="56">
        <v>194.68471459326801</v>
      </c>
      <c r="J243" s="56">
        <v>18</v>
      </c>
      <c r="K243" s="56">
        <v>12</v>
      </c>
      <c r="L243" s="56">
        <v>8</v>
      </c>
    </row>
    <row r="244" spans="1:12" ht="26.45">
      <c r="A244" s="47">
        <v>2024</v>
      </c>
      <c r="B244" s="47" t="s">
        <v>1121</v>
      </c>
      <c r="C244" s="47" t="s">
        <v>6844</v>
      </c>
      <c r="D244" s="50" t="s">
        <v>1122</v>
      </c>
      <c r="E244" s="47" t="s">
        <v>8981</v>
      </c>
      <c r="F244" s="49">
        <v>45013.978496331001</v>
      </c>
      <c r="G244" s="47" t="s">
        <v>8988</v>
      </c>
      <c r="H244" s="47">
        <v>5</v>
      </c>
      <c r="I244" s="57">
        <v>30.315325990425301</v>
      </c>
      <c r="J244" s="57">
        <v>18</v>
      </c>
      <c r="K244" s="57">
        <v>5.92</v>
      </c>
      <c r="L244" s="57">
        <v>5.92</v>
      </c>
    </row>
    <row r="245" spans="1:12" ht="26.45">
      <c r="A245" s="44">
        <v>2024</v>
      </c>
      <c r="B245" s="44" t="s">
        <v>379</v>
      </c>
      <c r="C245" s="44" t="s">
        <v>6851</v>
      </c>
      <c r="D245" s="46" t="s">
        <v>1123</v>
      </c>
      <c r="E245" s="44" t="s">
        <v>8981</v>
      </c>
      <c r="F245" s="51">
        <v>45055.766986030103</v>
      </c>
      <c r="G245" s="44" t="s">
        <v>8984</v>
      </c>
      <c r="H245" s="44">
        <v>1</v>
      </c>
      <c r="I245" s="56">
        <v>45.701727591071702</v>
      </c>
      <c r="J245" s="56">
        <v>18</v>
      </c>
      <c r="K245" s="56">
        <v>12</v>
      </c>
      <c r="L245" s="56">
        <v>8</v>
      </c>
    </row>
    <row r="246" spans="1:12" ht="26.45">
      <c r="A246" s="47">
        <v>2024</v>
      </c>
      <c r="B246" s="47" t="s">
        <v>1134</v>
      </c>
      <c r="C246" s="47" t="s">
        <v>6913</v>
      </c>
      <c r="D246" s="50" t="s">
        <v>1135</v>
      </c>
      <c r="E246" s="47" t="s">
        <v>8981</v>
      </c>
      <c r="F246" s="49">
        <v>45020.936491782399</v>
      </c>
      <c r="G246" s="47" t="s">
        <v>8983</v>
      </c>
      <c r="H246" s="47">
        <v>0</v>
      </c>
      <c r="I246" s="57">
        <v>40.2913982485208</v>
      </c>
      <c r="J246" s="57">
        <v>18</v>
      </c>
      <c r="K246" s="57">
        <v>12</v>
      </c>
      <c r="L246" s="57">
        <v>8</v>
      </c>
    </row>
    <row r="247" spans="1:12" ht="26.45">
      <c r="A247" s="44">
        <v>2024</v>
      </c>
      <c r="B247" s="44" t="s">
        <v>1130</v>
      </c>
      <c r="C247" s="44" t="s">
        <v>6925</v>
      </c>
      <c r="D247" s="46" t="s">
        <v>1131</v>
      </c>
      <c r="E247" s="44" t="s">
        <v>8981</v>
      </c>
      <c r="F247" s="51">
        <v>45020.949984143503</v>
      </c>
      <c r="G247" s="44" t="s">
        <v>8983</v>
      </c>
      <c r="H247" s="44">
        <v>0</v>
      </c>
      <c r="I247" s="56">
        <v>36.577919847072899</v>
      </c>
      <c r="J247" s="56">
        <v>18</v>
      </c>
      <c r="K247" s="56">
        <v>12</v>
      </c>
      <c r="L247" s="56">
        <v>8</v>
      </c>
    </row>
    <row r="248" spans="1:12" ht="26.45">
      <c r="A248" s="47">
        <v>2024</v>
      </c>
      <c r="B248" s="47" t="s">
        <v>1132</v>
      </c>
      <c r="C248" s="47" t="s">
        <v>6927</v>
      </c>
      <c r="D248" s="50" t="s">
        <v>1133</v>
      </c>
      <c r="E248" s="47" t="s">
        <v>8981</v>
      </c>
      <c r="F248" s="49">
        <v>45020.951990659698</v>
      </c>
      <c r="G248" s="47" t="s">
        <v>8983</v>
      </c>
      <c r="H248" s="47">
        <v>0</v>
      </c>
      <c r="I248" s="57">
        <v>52.498182023035803</v>
      </c>
      <c r="J248" s="57">
        <v>18</v>
      </c>
      <c r="K248" s="57">
        <v>12</v>
      </c>
      <c r="L248" s="57">
        <v>8</v>
      </c>
    </row>
    <row r="249" spans="1:12" ht="26.45">
      <c r="A249" s="44">
        <v>2024</v>
      </c>
      <c r="B249" s="44" t="s">
        <v>380</v>
      </c>
      <c r="C249" s="44" t="s">
        <v>6942</v>
      </c>
      <c r="D249" s="46" t="s">
        <v>1136</v>
      </c>
      <c r="E249" s="44" t="s">
        <v>8981</v>
      </c>
      <c r="F249" s="51">
        <v>45043.8366368403</v>
      </c>
      <c r="G249" s="44" t="s">
        <v>8984</v>
      </c>
      <c r="H249" s="44">
        <v>0</v>
      </c>
      <c r="I249" s="56">
        <v>12.1341955481605</v>
      </c>
      <c r="J249" s="56">
        <v>12.1341955481605</v>
      </c>
      <c r="K249" s="56">
        <v>10.98</v>
      </c>
      <c r="L249" s="56">
        <v>8</v>
      </c>
    </row>
    <row r="250" spans="1:12" ht="26.45">
      <c r="A250" s="47">
        <v>2024</v>
      </c>
      <c r="B250" s="47" t="s">
        <v>383</v>
      </c>
      <c r="C250" s="47" t="s">
        <v>7019</v>
      </c>
      <c r="D250" s="50" t="s">
        <v>1141</v>
      </c>
      <c r="E250" s="47" t="s">
        <v>8981</v>
      </c>
      <c r="F250" s="49">
        <v>45154.762153854201</v>
      </c>
      <c r="G250" s="47" t="s">
        <v>8990</v>
      </c>
      <c r="H250" s="47">
        <v>2</v>
      </c>
      <c r="I250" s="57">
        <v>57.963082493814298</v>
      </c>
      <c r="J250" s="57">
        <v>18</v>
      </c>
      <c r="K250" s="57">
        <v>12</v>
      </c>
      <c r="L250" s="57">
        <v>8</v>
      </c>
    </row>
    <row r="251" spans="1:12" ht="26.45">
      <c r="A251" s="44">
        <v>2024</v>
      </c>
      <c r="B251" s="44" t="s">
        <v>388</v>
      </c>
      <c r="C251" s="44" t="s">
        <v>7112</v>
      </c>
      <c r="D251" s="46" t="s">
        <v>1151</v>
      </c>
      <c r="E251" s="44" t="s">
        <v>8981</v>
      </c>
      <c r="F251" s="51">
        <v>45016.922110034699</v>
      </c>
      <c r="G251" s="44" t="s">
        <v>8987</v>
      </c>
      <c r="H251" s="44">
        <v>1</v>
      </c>
      <c r="I251" s="56">
        <v>27.6568838365699</v>
      </c>
      <c r="J251" s="56">
        <v>18</v>
      </c>
      <c r="K251" s="56">
        <v>4.05</v>
      </c>
      <c r="L251" s="56">
        <v>4.05</v>
      </c>
    </row>
    <row r="252" spans="1:12" ht="26.45">
      <c r="A252" s="47">
        <v>2024</v>
      </c>
      <c r="B252" s="47" t="s">
        <v>389</v>
      </c>
      <c r="C252" s="47" t="s">
        <v>7119</v>
      </c>
      <c r="D252" s="50" t="s">
        <v>1152</v>
      </c>
      <c r="E252" s="47" t="s">
        <v>8981</v>
      </c>
      <c r="F252" s="49">
        <v>45127.940958217601</v>
      </c>
      <c r="G252" s="47" t="s">
        <v>8984</v>
      </c>
      <c r="H252" s="47">
        <v>0</v>
      </c>
      <c r="I252" s="57">
        <v>0</v>
      </c>
      <c r="J252" s="57">
        <v>0</v>
      </c>
      <c r="K252" s="57">
        <v>0</v>
      </c>
      <c r="L252" s="57">
        <v>0</v>
      </c>
    </row>
    <row r="253" spans="1:12" ht="26.45">
      <c r="A253" s="44">
        <v>2024</v>
      </c>
      <c r="B253" s="44" t="s">
        <v>391</v>
      </c>
      <c r="C253" s="44" t="s">
        <v>7166</v>
      </c>
      <c r="D253" s="46" t="s">
        <v>1154</v>
      </c>
      <c r="E253" s="44" t="s">
        <v>8991</v>
      </c>
      <c r="F253" s="51">
        <v>45020.842912581</v>
      </c>
      <c r="G253" s="44" t="s">
        <v>8999</v>
      </c>
      <c r="H253" s="44"/>
      <c r="I253" s="56">
        <v>0</v>
      </c>
      <c r="J253" s="56">
        <v>0</v>
      </c>
      <c r="K253" s="56">
        <v>0</v>
      </c>
      <c r="L253" s="56">
        <v>0</v>
      </c>
    </row>
    <row r="254" spans="1:12" ht="26.45">
      <c r="A254" s="47">
        <v>2024</v>
      </c>
      <c r="B254" s="47" t="s">
        <v>392</v>
      </c>
      <c r="C254" s="47" t="s">
        <v>7175</v>
      </c>
      <c r="D254" s="50" t="s">
        <v>1155</v>
      </c>
      <c r="E254" s="47" t="s">
        <v>8981</v>
      </c>
      <c r="F254" s="49">
        <v>45050.852255937498</v>
      </c>
      <c r="G254" s="47" t="s">
        <v>8988</v>
      </c>
      <c r="H254" s="47">
        <v>0</v>
      </c>
      <c r="I254" s="57">
        <v>25.6423315378151</v>
      </c>
      <c r="J254" s="57">
        <v>18</v>
      </c>
      <c r="K254" s="57">
        <v>12</v>
      </c>
      <c r="L254" s="57">
        <v>8</v>
      </c>
    </row>
    <row r="255" spans="1:12" ht="26.45">
      <c r="A255" s="44">
        <v>2024</v>
      </c>
      <c r="B255" s="44" t="s">
        <v>393</v>
      </c>
      <c r="C255" s="44" t="s">
        <v>7205</v>
      </c>
      <c r="D255" s="46" t="s">
        <v>1156</v>
      </c>
      <c r="E255" s="44" t="s">
        <v>8981</v>
      </c>
      <c r="F255" s="51">
        <v>45042.908223460603</v>
      </c>
      <c r="G255" s="44" t="s">
        <v>8984</v>
      </c>
      <c r="H255" s="44">
        <v>14</v>
      </c>
      <c r="I255" s="56">
        <v>50.623566840286102</v>
      </c>
      <c r="J255" s="56">
        <v>18</v>
      </c>
      <c r="K255" s="56">
        <v>8.86</v>
      </c>
      <c r="L255" s="56">
        <v>8</v>
      </c>
    </row>
    <row r="256" spans="1:12" ht="26.45">
      <c r="A256" s="47">
        <v>2024</v>
      </c>
      <c r="B256" s="47" t="s">
        <v>394</v>
      </c>
      <c r="C256" s="47" t="s">
        <v>7213</v>
      </c>
      <c r="D256" s="50" t="s">
        <v>1157</v>
      </c>
      <c r="E256" s="47" t="s">
        <v>8981</v>
      </c>
      <c r="F256" s="49">
        <v>45068.681135381899</v>
      </c>
      <c r="G256" s="47" t="s">
        <v>8990</v>
      </c>
      <c r="H256" s="47">
        <v>0</v>
      </c>
      <c r="I256" s="57">
        <v>60.304459843860599</v>
      </c>
      <c r="J256" s="57">
        <v>18</v>
      </c>
      <c r="K256" s="57">
        <v>12</v>
      </c>
      <c r="L256" s="57">
        <v>8</v>
      </c>
    </row>
    <row r="257" spans="1:12" ht="26.45">
      <c r="A257" s="44">
        <v>2024</v>
      </c>
      <c r="B257" s="44" t="s">
        <v>395</v>
      </c>
      <c r="C257" s="44" t="s">
        <v>7221</v>
      </c>
      <c r="D257" s="46" t="s">
        <v>1158</v>
      </c>
      <c r="E257" s="44" t="s">
        <v>8991</v>
      </c>
      <c r="F257" s="51">
        <v>45035.915266898097</v>
      </c>
      <c r="G257" s="44" t="s">
        <v>9000</v>
      </c>
      <c r="H257" s="44"/>
      <c r="I257" s="56">
        <v>29.3571469386</v>
      </c>
      <c r="J257" s="56">
        <v>18</v>
      </c>
      <c r="K257" s="56">
        <v>12</v>
      </c>
      <c r="L257" s="56">
        <v>8</v>
      </c>
    </row>
    <row r="258" spans="1:12" ht="26.45">
      <c r="A258" s="47">
        <v>2024</v>
      </c>
      <c r="B258" s="47" t="s">
        <v>400</v>
      </c>
      <c r="C258" s="47" t="s">
        <v>7314</v>
      </c>
      <c r="D258" s="50" t="s">
        <v>1163</v>
      </c>
      <c r="E258" s="47" t="s">
        <v>8981</v>
      </c>
      <c r="F258" s="49">
        <v>45043.753978935201</v>
      </c>
      <c r="G258" s="47" t="s">
        <v>8988</v>
      </c>
      <c r="H258" s="47">
        <v>3</v>
      </c>
      <c r="I258" s="57">
        <v>56.283838719863802</v>
      </c>
      <c r="J258" s="57">
        <v>18</v>
      </c>
      <c r="K258" s="57">
        <v>12</v>
      </c>
      <c r="L258" s="57">
        <v>8</v>
      </c>
    </row>
    <row r="259" spans="1:12" ht="26.45">
      <c r="A259" s="44">
        <v>2024</v>
      </c>
      <c r="B259" s="44" t="s">
        <v>401</v>
      </c>
      <c r="C259" s="44" t="s">
        <v>7331</v>
      </c>
      <c r="D259" s="46" t="s">
        <v>1164</v>
      </c>
      <c r="E259" s="44" t="s">
        <v>8981</v>
      </c>
      <c r="F259" s="51">
        <v>45002.667928900497</v>
      </c>
      <c r="G259" s="44" t="s">
        <v>8988</v>
      </c>
      <c r="H259" s="44">
        <v>11</v>
      </c>
      <c r="I259" s="56">
        <v>32.780493388983402</v>
      </c>
      <c r="J259" s="56">
        <v>18</v>
      </c>
      <c r="K259" s="56">
        <v>0</v>
      </c>
      <c r="L259" s="56">
        <v>0</v>
      </c>
    </row>
    <row r="260" spans="1:12" ht="26.45">
      <c r="A260" s="47">
        <v>2024</v>
      </c>
      <c r="B260" s="47" t="s">
        <v>402</v>
      </c>
      <c r="C260" s="47" t="s">
        <v>7338</v>
      </c>
      <c r="D260" s="50" t="s">
        <v>1165</v>
      </c>
      <c r="E260" s="47" t="s">
        <v>8981</v>
      </c>
      <c r="F260" s="49">
        <v>45056.777116817102</v>
      </c>
      <c r="G260" s="47" t="s">
        <v>8988</v>
      </c>
      <c r="H260" s="47">
        <v>0</v>
      </c>
      <c r="I260" s="57">
        <v>71.683269983426399</v>
      </c>
      <c r="J260" s="57">
        <v>18</v>
      </c>
      <c r="K260" s="57">
        <v>12</v>
      </c>
      <c r="L260" s="57">
        <v>8</v>
      </c>
    </row>
    <row r="261" spans="1:12" ht="26.45">
      <c r="A261" s="44">
        <v>2024</v>
      </c>
      <c r="B261" s="44" t="s">
        <v>404</v>
      </c>
      <c r="C261" s="44" t="s">
        <v>7359</v>
      </c>
      <c r="D261" s="46" t="s">
        <v>1167</v>
      </c>
      <c r="E261" s="44" t="s">
        <v>8981</v>
      </c>
      <c r="F261" s="51">
        <v>45064.666120752299</v>
      </c>
      <c r="G261" s="44" t="s">
        <v>8990</v>
      </c>
      <c r="H261" s="44">
        <v>1</v>
      </c>
      <c r="I261" s="56">
        <v>32.640844012854899</v>
      </c>
      <c r="J261" s="56">
        <v>18</v>
      </c>
      <c r="K261" s="56">
        <v>0</v>
      </c>
      <c r="L261" s="56">
        <v>0</v>
      </c>
    </row>
    <row r="262" spans="1:12" ht="26.45">
      <c r="A262" s="47">
        <v>2024</v>
      </c>
      <c r="B262" s="47" t="s">
        <v>405</v>
      </c>
      <c r="C262" s="47" t="s">
        <v>7386</v>
      </c>
      <c r="D262" s="50" t="s">
        <v>1168</v>
      </c>
      <c r="E262" s="47" t="s">
        <v>8981</v>
      </c>
      <c r="F262" s="49">
        <v>45043.857936770801</v>
      </c>
      <c r="G262" s="47" t="s">
        <v>8984</v>
      </c>
      <c r="H262" s="47">
        <v>0</v>
      </c>
      <c r="I262" s="57">
        <v>43.481811366346903</v>
      </c>
      <c r="J262" s="57">
        <v>18</v>
      </c>
      <c r="K262" s="57">
        <v>12</v>
      </c>
      <c r="L262" s="57">
        <v>8</v>
      </c>
    </row>
    <row r="263" spans="1:12" ht="26.45">
      <c r="A263" s="44">
        <v>2024</v>
      </c>
      <c r="B263" s="44" t="s">
        <v>406</v>
      </c>
      <c r="C263" s="44" t="s">
        <v>7394</v>
      </c>
      <c r="D263" s="46" t="s">
        <v>1169</v>
      </c>
      <c r="E263" s="44" t="s">
        <v>8981</v>
      </c>
      <c r="F263" s="51">
        <v>45014.862401655097</v>
      </c>
      <c r="G263" s="44" t="s">
        <v>8988</v>
      </c>
      <c r="H263" s="44">
        <v>1</v>
      </c>
      <c r="I263" s="56">
        <v>27.3354374140077</v>
      </c>
      <c r="J263" s="56">
        <v>18</v>
      </c>
      <c r="K263" s="56">
        <v>9.33</v>
      </c>
      <c r="L263" s="56">
        <v>8</v>
      </c>
    </row>
    <row r="264" spans="1:12" ht="26.45">
      <c r="A264" s="47">
        <v>2024</v>
      </c>
      <c r="B264" s="47" t="s">
        <v>407</v>
      </c>
      <c r="C264" s="47" t="s">
        <v>7401</v>
      </c>
      <c r="D264" s="50" t="s">
        <v>1170</v>
      </c>
      <c r="E264" s="47" t="s">
        <v>8981</v>
      </c>
      <c r="F264" s="49">
        <v>45257.675434490702</v>
      </c>
      <c r="G264" s="47" t="s">
        <v>8984</v>
      </c>
      <c r="H264" s="47">
        <v>0</v>
      </c>
      <c r="I264" s="57">
        <v>26.999180371339399</v>
      </c>
      <c r="J264" s="57">
        <v>18</v>
      </c>
      <c r="K264" s="57">
        <v>0</v>
      </c>
      <c r="L264" s="57">
        <v>0</v>
      </c>
    </row>
    <row r="265" spans="1:12" ht="26.45">
      <c r="A265" s="44">
        <v>2024</v>
      </c>
      <c r="B265" s="44" t="s">
        <v>409</v>
      </c>
      <c r="C265" s="44" t="s">
        <v>7426</v>
      </c>
      <c r="D265" s="46" t="s">
        <v>1172</v>
      </c>
      <c r="E265" s="44" t="s">
        <v>8981</v>
      </c>
      <c r="F265" s="51">
        <v>45030.792836770801</v>
      </c>
      <c r="G265" s="44" t="s">
        <v>8983</v>
      </c>
      <c r="H265" s="44">
        <v>0</v>
      </c>
      <c r="I265" s="56">
        <v>31.895536417235999</v>
      </c>
      <c r="J265" s="56">
        <v>18</v>
      </c>
      <c r="K265" s="56">
        <v>5.08</v>
      </c>
      <c r="L265" s="56">
        <v>5.08</v>
      </c>
    </row>
    <row r="266" spans="1:12" ht="26.45">
      <c r="A266" s="47">
        <v>2024</v>
      </c>
      <c r="B266" s="47" t="s">
        <v>410</v>
      </c>
      <c r="C266" s="47" t="s">
        <v>7433</v>
      </c>
      <c r="D266" s="50" t="s">
        <v>1173</v>
      </c>
      <c r="E266" s="47" t="s">
        <v>8981</v>
      </c>
      <c r="F266" s="49">
        <v>45001.851542708297</v>
      </c>
      <c r="G266" s="47" t="s">
        <v>8987</v>
      </c>
      <c r="H266" s="47">
        <v>13</v>
      </c>
      <c r="I266" s="57">
        <v>50.4925305905656</v>
      </c>
      <c r="J266" s="57">
        <v>18</v>
      </c>
      <c r="K266" s="57">
        <v>10.4</v>
      </c>
      <c r="L266" s="57">
        <v>8</v>
      </c>
    </row>
    <row r="267" spans="1:12" ht="26.45">
      <c r="A267" s="44">
        <v>2024</v>
      </c>
      <c r="B267" s="44" t="s">
        <v>411</v>
      </c>
      <c r="C267" s="44" t="s">
        <v>7454</v>
      </c>
      <c r="D267" s="46" t="s">
        <v>1176</v>
      </c>
      <c r="E267" s="44" t="s">
        <v>8981</v>
      </c>
      <c r="F267" s="51">
        <v>45034.8234051736</v>
      </c>
      <c r="G267" s="44" t="s">
        <v>8990</v>
      </c>
      <c r="H267" s="44">
        <v>1</v>
      </c>
      <c r="I267" s="56">
        <v>48.710566805970799</v>
      </c>
      <c r="J267" s="56">
        <v>18</v>
      </c>
      <c r="K267" s="56">
        <v>7.31</v>
      </c>
      <c r="L267" s="56">
        <v>7.31</v>
      </c>
    </row>
    <row r="268" spans="1:12" ht="26.45">
      <c r="A268" s="47">
        <v>2024</v>
      </c>
      <c r="B268" s="47" t="s">
        <v>415</v>
      </c>
      <c r="C268" s="47" t="s">
        <v>7498</v>
      </c>
      <c r="D268" s="50" t="s">
        <v>1180</v>
      </c>
      <c r="E268" s="47" t="s">
        <v>8981</v>
      </c>
      <c r="F268" s="49">
        <v>45029.847090972202</v>
      </c>
      <c r="G268" s="47" t="s">
        <v>8990</v>
      </c>
      <c r="H268" s="47">
        <v>0</v>
      </c>
      <c r="I268" s="57">
        <v>10.7539787061247</v>
      </c>
      <c r="J268" s="57">
        <v>10.7539787061247</v>
      </c>
      <c r="K268" s="57">
        <v>5.33</v>
      </c>
      <c r="L268" s="57">
        <v>5.33</v>
      </c>
    </row>
    <row r="269" spans="1:12" ht="26.45">
      <c r="A269" s="44">
        <v>2024</v>
      </c>
      <c r="B269" s="44" t="s">
        <v>416</v>
      </c>
      <c r="C269" s="44" t="s">
        <v>7523</v>
      </c>
      <c r="D269" s="46" t="s">
        <v>1183</v>
      </c>
      <c r="E269" s="44" t="s">
        <v>8981</v>
      </c>
      <c r="F269" s="51">
        <v>45042.757858368102</v>
      </c>
      <c r="G269" s="44" t="s">
        <v>8989</v>
      </c>
      <c r="H269" s="44">
        <v>2</v>
      </c>
      <c r="I269" s="56">
        <v>34.339820414722801</v>
      </c>
      <c r="J269" s="56">
        <v>18</v>
      </c>
      <c r="K269" s="56">
        <v>4.54</v>
      </c>
      <c r="L269" s="56">
        <v>4.54</v>
      </c>
    </row>
    <row r="270" spans="1:12" ht="26.45">
      <c r="A270" s="47">
        <v>2024</v>
      </c>
      <c r="B270" s="47" t="s">
        <v>417</v>
      </c>
      <c r="C270" s="47" t="s">
        <v>7531</v>
      </c>
      <c r="D270" s="50" t="s">
        <v>1184</v>
      </c>
      <c r="E270" s="47" t="s">
        <v>8981</v>
      </c>
      <c r="F270" s="49">
        <v>45070.765816088002</v>
      </c>
      <c r="G270" s="47" t="s">
        <v>8989</v>
      </c>
      <c r="H270" s="47">
        <v>0</v>
      </c>
      <c r="I270" s="57">
        <v>33.965705244328703</v>
      </c>
      <c r="J270" s="57">
        <v>18</v>
      </c>
      <c r="K270" s="57">
        <v>12</v>
      </c>
      <c r="L270" s="57">
        <v>8</v>
      </c>
    </row>
    <row r="271" spans="1:12" ht="26.45">
      <c r="A271" s="44">
        <v>2024</v>
      </c>
      <c r="B271" s="44" t="s">
        <v>418</v>
      </c>
      <c r="C271" s="44" t="s">
        <v>7539</v>
      </c>
      <c r="D271" s="46" t="s">
        <v>1185</v>
      </c>
      <c r="E271" s="44" t="s">
        <v>8981</v>
      </c>
      <c r="F271" s="51">
        <v>45042.794516238399</v>
      </c>
      <c r="G271" s="44" t="s">
        <v>8989</v>
      </c>
      <c r="H271" s="44">
        <v>0</v>
      </c>
      <c r="I271" s="56">
        <v>29.657053476556399</v>
      </c>
      <c r="J271" s="56">
        <v>18</v>
      </c>
      <c r="K271" s="56">
        <v>3.5</v>
      </c>
      <c r="L271" s="56">
        <v>3.5</v>
      </c>
    </row>
    <row r="272" spans="1:12" ht="26.45">
      <c r="A272" s="47">
        <v>2024</v>
      </c>
      <c r="B272" s="47" t="s">
        <v>1186</v>
      </c>
      <c r="C272" s="47" t="s">
        <v>7547</v>
      </c>
      <c r="D272" s="50" t="s">
        <v>1187</v>
      </c>
      <c r="E272" s="47" t="s">
        <v>8981</v>
      </c>
      <c r="F272" s="49">
        <v>45119.622180439801</v>
      </c>
      <c r="G272" s="47" t="s">
        <v>8989</v>
      </c>
      <c r="H272" s="47">
        <v>0</v>
      </c>
      <c r="I272" s="57">
        <v>123.31606702772299</v>
      </c>
      <c r="J272" s="57">
        <v>18</v>
      </c>
      <c r="K272" s="57">
        <v>12</v>
      </c>
      <c r="L272" s="57">
        <v>8</v>
      </c>
    </row>
    <row r="273" spans="1:12" ht="26.45">
      <c r="A273" s="44">
        <v>2024</v>
      </c>
      <c r="B273" s="44" t="s">
        <v>419</v>
      </c>
      <c r="C273" s="44" t="s">
        <v>7567</v>
      </c>
      <c r="D273" s="46" t="s">
        <v>1192</v>
      </c>
      <c r="E273" s="44" t="s">
        <v>8981</v>
      </c>
      <c r="F273" s="51">
        <v>45176.942891006896</v>
      </c>
      <c r="G273" s="44" t="s">
        <v>8988</v>
      </c>
      <c r="H273" s="44">
        <v>6</v>
      </c>
      <c r="I273" s="56">
        <v>0</v>
      </c>
      <c r="J273" s="56">
        <v>0</v>
      </c>
      <c r="K273" s="56">
        <v>0</v>
      </c>
      <c r="L273" s="56">
        <v>0</v>
      </c>
    </row>
    <row r="274" spans="1:12" ht="26.45">
      <c r="A274" s="47">
        <v>2024</v>
      </c>
      <c r="B274" s="47" t="s">
        <v>420</v>
      </c>
      <c r="C274" s="47" t="s">
        <v>7636</v>
      </c>
      <c r="D274" s="50" t="s">
        <v>1193</v>
      </c>
      <c r="E274" s="47" t="s">
        <v>8981</v>
      </c>
      <c r="F274" s="49">
        <v>45070.728090162003</v>
      </c>
      <c r="G274" s="47" t="s">
        <v>8983</v>
      </c>
      <c r="H274" s="47">
        <v>12</v>
      </c>
      <c r="I274" s="57">
        <v>25.225354364884499</v>
      </c>
      <c r="J274" s="57">
        <v>18</v>
      </c>
      <c r="K274" s="57">
        <v>12</v>
      </c>
      <c r="L274" s="57">
        <v>8</v>
      </c>
    </row>
    <row r="275" spans="1:12" ht="26.45">
      <c r="A275" s="44">
        <v>2024</v>
      </c>
      <c r="B275" s="44" t="s">
        <v>421</v>
      </c>
      <c r="C275" s="44" t="s">
        <v>7643</v>
      </c>
      <c r="D275" s="46" t="s">
        <v>1194</v>
      </c>
      <c r="E275" s="44" t="s">
        <v>8981</v>
      </c>
      <c r="F275" s="51">
        <v>45078.839489548598</v>
      </c>
      <c r="G275" s="44" t="s">
        <v>8988</v>
      </c>
      <c r="H275" s="44">
        <v>2</v>
      </c>
      <c r="I275" s="56">
        <v>27.037109883645801</v>
      </c>
      <c r="J275" s="56">
        <v>18</v>
      </c>
      <c r="K275" s="56">
        <v>12</v>
      </c>
      <c r="L275" s="56">
        <v>8</v>
      </c>
    </row>
    <row r="276" spans="1:12" ht="26.45">
      <c r="A276" s="47">
        <v>2024</v>
      </c>
      <c r="B276" s="47" t="s">
        <v>1195</v>
      </c>
      <c r="C276" s="47" t="s">
        <v>7653</v>
      </c>
      <c r="D276" s="50" t="s">
        <v>1196</v>
      </c>
      <c r="E276" s="47" t="s">
        <v>8981</v>
      </c>
      <c r="F276" s="49">
        <v>45056.786036655103</v>
      </c>
      <c r="G276" s="47" t="s">
        <v>8988</v>
      </c>
      <c r="H276" s="47">
        <v>0</v>
      </c>
      <c r="I276" s="57">
        <v>56.8716328861018</v>
      </c>
      <c r="J276" s="57">
        <v>18</v>
      </c>
      <c r="K276" s="57">
        <v>12</v>
      </c>
      <c r="L276" s="57">
        <v>8</v>
      </c>
    </row>
    <row r="277" spans="1:12" ht="26.45">
      <c r="A277" s="44">
        <v>2024</v>
      </c>
      <c r="B277" s="44" t="s">
        <v>422</v>
      </c>
      <c r="C277" s="44" t="s">
        <v>7659</v>
      </c>
      <c r="D277" s="46" t="s">
        <v>1197</v>
      </c>
      <c r="E277" s="44" t="s">
        <v>8981</v>
      </c>
      <c r="F277" s="51">
        <v>45020.7514800926</v>
      </c>
      <c r="G277" s="44" t="s">
        <v>8988</v>
      </c>
      <c r="H277" s="44">
        <v>1</v>
      </c>
      <c r="I277" s="56">
        <v>28.745902384599201</v>
      </c>
      <c r="J277" s="56">
        <v>18</v>
      </c>
      <c r="K277" s="56">
        <v>5.41</v>
      </c>
      <c r="L277" s="56">
        <v>5.41</v>
      </c>
    </row>
    <row r="278" spans="1:12" ht="26.45">
      <c r="A278" s="47">
        <v>2024</v>
      </c>
      <c r="B278" s="47" t="s">
        <v>424</v>
      </c>
      <c r="C278" s="47" t="s">
        <v>7674</v>
      </c>
      <c r="D278" s="50" t="s">
        <v>1199</v>
      </c>
      <c r="E278" s="47" t="s">
        <v>8981</v>
      </c>
      <c r="F278" s="49">
        <v>45019.9849270833</v>
      </c>
      <c r="G278" s="47" t="s">
        <v>8987</v>
      </c>
      <c r="H278" s="47">
        <v>6</v>
      </c>
      <c r="I278" s="57">
        <v>37.645223540394603</v>
      </c>
      <c r="J278" s="57">
        <v>18</v>
      </c>
      <c r="K278" s="57">
        <v>3.37</v>
      </c>
      <c r="L278" s="57">
        <v>3.37</v>
      </c>
    </row>
    <row r="279" spans="1:12" ht="26.45">
      <c r="A279" s="44">
        <v>2024</v>
      </c>
      <c r="B279" s="44" t="s">
        <v>428</v>
      </c>
      <c r="C279" s="44" t="s">
        <v>7741</v>
      </c>
      <c r="D279" s="46" t="s">
        <v>1205</v>
      </c>
      <c r="E279" s="44" t="s">
        <v>8981</v>
      </c>
      <c r="F279" s="51">
        <v>45202.790113541698</v>
      </c>
      <c r="G279" s="44" t="s">
        <v>8990</v>
      </c>
      <c r="H279" s="44">
        <v>9</v>
      </c>
      <c r="I279" s="56">
        <v>33.824762164414601</v>
      </c>
      <c r="J279" s="56">
        <v>18</v>
      </c>
      <c r="K279" s="56">
        <v>0</v>
      </c>
      <c r="L279" s="56">
        <v>0</v>
      </c>
    </row>
    <row r="280" spans="1:12" ht="26.45">
      <c r="A280" s="47">
        <v>2024</v>
      </c>
      <c r="B280" s="47" t="s">
        <v>429</v>
      </c>
      <c r="C280" s="47" t="s">
        <v>7763</v>
      </c>
      <c r="D280" s="50" t="s">
        <v>1206</v>
      </c>
      <c r="E280" s="47" t="s">
        <v>8981</v>
      </c>
      <c r="F280" s="49">
        <v>45070.923011342602</v>
      </c>
      <c r="G280" s="47" t="s">
        <v>8989</v>
      </c>
      <c r="H280" s="47">
        <v>2</v>
      </c>
      <c r="I280" s="57">
        <v>34.483346523779602</v>
      </c>
      <c r="J280" s="57">
        <v>18</v>
      </c>
      <c r="K280" s="57">
        <v>4.83</v>
      </c>
      <c r="L280" s="57">
        <v>4.83</v>
      </c>
    </row>
    <row r="281" spans="1:12" ht="26.45">
      <c r="A281" s="44">
        <v>2024</v>
      </c>
      <c r="B281" s="44" t="s">
        <v>433</v>
      </c>
      <c r="C281" s="44" t="s">
        <v>7804</v>
      </c>
      <c r="D281" s="46" t="s">
        <v>1214</v>
      </c>
      <c r="E281" s="44" t="s">
        <v>8981</v>
      </c>
      <c r="F281" s="51">
        <v>45002.903750463003</v>
      </c>
      <c r="G281" s="44" t="s">
        <v>8990</v>
      </c>
      <c r="H281" s="44">
        <v>16</v>
      </c>
      <c r="I281" s="56">
        <v>24.687558702813099</v>
      </c>
      <c r="J281" s="56">
        <v>18</v>
      </c>
      <c r="K281" s="56">
        <v>3.88</v>
      </c>
      <c r="L281" s="56">
        <v>3.88</v>
      </c>
    </row>
    <row r="282" spans="1:12" ht="26.45">
      <c r="A282" s="47">
        <v>2024</v>
      </c>
      <c r="B282" s="47" t="s">
        <v>434</v>
      </c>
      <c r="C282" s="47" t="s">
        <v>7811</v>
      </c>
      <c r="D282" s="50" t="s">
        <v>1215</v>
      </c>
      <c r="E282" s="47" t="s">
        <v>8981</v>
      </c>
      <c r="F282" s="49">
        <v>45029.691922534701</v>
      </c>
      <c r="G282" s="47" t="s">
        <v>8984</v>
      </c>
      <c r="H282" s="47">
        <v>10</v>
      </c>
      <c r="I282" s="57">
        <v>38.097404641163102</v>
      </c>
      <c r="J282" s="57">
        <v>18</v>
      </c>
      <c r="K282" s="57">
        <v>12</v>
      </c>
      <c r="L282" s="57">
        <v>8</v>
      </c>
    </row>
    <row r="283" spans="1:12" ht="26.45">
      <c r="A283" s="44">
        <v>2024</v>
      </c>
      <c r="B283" s="44" t="s">
        <v>436</v>
      </c>
      <c r="C283" s="44" t="s">
        <v>7826</v>
      </c>
      <c r="D283" s="46" t="s">
        <v>1217</v>
      </c>
      <c r="E283" s="44" t="s">
        <v>8981</v>
      </c>
      <c r="F283" s="51">
        <v>45006.789297604199</v>
      </c>
      <c r="G283" s="44" t="s">
        <v>8990</v>
      </c>
      <c r="H283" s="44">
        <v>0</v>
      </c>
      <c r="I283" s="56">
        <v>33.915778556244298</v>
      </c>
      <c r="J283" s="56">
        <v>18</v>
      </c>
      <c r="K283" s="56">
        <v>6.18</v>
      </c>
      <c r="L283" s="56">
        <v>6.18</v>
      </c>
    </row>
    <row r="284" spans="1:12" ht="26.45">
      <c r="A284" s="47">
        <v>2024</v>
      </c>
      <c r="B284" s="47" t="s">
        <v>437</v>
      </c>
      <c r="C284" s="47" t="s">
        <v>7834</v>
      </c>
      <c r="D284" s="50" t="s">
        <v>1218</v>
      </c>
      <c r="E284" s="47" t="s">
        <v>8981</v>
      </c>
      <c r="F284" s="49">
        <v>45077.7135402778</v>
      </c>
      <c r="G284" s="47" t="s">
        <v>8989</v>
      </c>
      <c r="H284" s="47">
        <v>1</v>
      </c>
      <c r="I284" s="57">
        <v>44.5832804394283</v>
      </c>
      <c r="J284" s="57">
        <v>18</v>
      </c>
      <c r="K284" s="57">
        <v>12</v>
      </c>
      <c r="L284" s="57">
        <v>8</v>
      </c>
    </row>
    <row r="285" spans="1:12" ht="26.45">
      <c r="A285" s="44">
        <v>2024</v>
      </c>
      <c r="B285" s="44" t="s">
        <v>7884</v>
      </c>
      <c r="C285" s="44" t="s">
        <v>7885</v>
      </c>
      <c r="D285" s="46" t="s">
        <v>7883</v>
      </c>
      <c r="E285" s="44" t="s">
        <v>8981</v>
      </c>
      <c r="F285" s="51">
        <v>45218.737076770798</v>
      </c>
      <c r="G285" s="44" t="s">
        <v>8985</v>
      </c>
      <c r="H285" s="44">
        <v>6</v>
      </c>
      <c r="I285" s="56">
        <v>14.6799978054606</v>
      </c>
      <c r="J285" s="56">
        <v>14.6799978054606</v>
      </c>
      <c r="K285" s="56">
        <v>0</v>
      </c>
      <c r="L285" s="56">
        <v>0</v>
      </c>
    </row>
    <row r="286" spans="1:12" ht="26.45">
      <c r="A286" s="47">
        <v>2024</v>
      </c>
      <c r="B286" s="47" t="s">
        <v>441</v>
      </c>
      <c r="C286" s="47" t="s">
        <v>7922</v>
      </c>
      <c r="D286" s="50" t="s">
        <v>1226</v>
      </c>
      <c r="E286" s="47" t="s">
        <v>8981</v>
      </c>
      <c r="F286" s="49">
        <v>45008.691645601903</v>
      </c>
      <c r="G286" s="47" t="s">
        <v>8990</v>
      </c>
      <c r="H286" s="47">
        <v>0</v>
      </c>
      <c r="I286" s="57">
        <v>46.758512908884903</v>
      </c>
      <c r="J286" s="57">
        <v>18</v>
      </c>
      <c r="K286" s="57">
        <v>2.7</v>
      </c>
      <c r="L286" s="57">
        <v>2.7</v>
      </c>
    </row>
    <row r="287" spans="1:12" ht="26.45">
      <c r="A287" s="44">
        <v>2024</v>
      </c>
      <c r="B287" s="44" t="s">
        <v>442</v>
      </c>
      <c r="C287" s="44" t="s">
        <v>7983</v>
      </c>
      <c r="D287" s="46" t="s">
        <v>1227</v>
      </c>
      <c r="E287" s="44" t="s">
        <v>8981</v>
      </c>
      <c r="F287" s="51">
        <v>45119.955082789398</v>
      </c>
      <c r="G287" s="44" t="s">
        <v>8984</v>
      </c>
      <c r="H287" s="44">
        <v>0</v>
      </c>
      <c r="I287" s="56">
        <v>56.152540083671902</v>
      </c>
      <c r="J287" s="56">
        <v>18</v>
      </c>
      <c r="K287" s="56">
        <v>12</v>
      </c>
      <c r="L287" s="56">
        <v>8</v>
      </c>
    </row>
    <row r="288" spans="1:12" ht="26.45">
      <c r="A288" s="47">
        <v>2024</v>
      </c>
      <c r="B288" s="47" t="s">
        <v>445</v>
      </c>
      <c r="C288" s="47" t="s">
        <v>8054</v>
      </c>
      <c r="D288" s="50" t="s">
        <v>1232</v>
      </c>
      <c r="E288" s="47" t="s">
        <v>8981</v>
      </c>
      <c r="F288" s="49">
        <v>45002.657630243099</v>
      </c>
      <c r="G288" s="47" t="s">
        <v>8988</v>
      </c>
      <c r="H288" s="47">
        <v>15</v>
      </c>
      <c r="I288" s="57">
        <v>0</v>
      </c>
      <c r="J288" s="57">
        <v>0</v>
      </c>
      <c r="K288" s="57">
        <v>0</v>
      </c>
      <c r="L288" s="57">
        <v>0</v>
      </c>
    </row>
    <row r="289" spans="1:12" ht="26.45">
      <c r="A289" s="44">
        <v>2024</v>
      </c>
      <c r="B289" s="44" t="s">
        <v>446</v>
      </c>
      <c r="C289" s="44" t="s">
        <v>8071</v>
      </c>
      <c r="D289" s="46" t="s">
        <v>1233</v>
      </c>
      <c r="E289" s="44" t="s">
        <v>8981</v>
      </c>
      <c r="F289" s="51">
        <v>45014.721660451403</v>
      </c>
      <c r="G289" s="44" t="s">
        <v>8983</v>
      </c>
      <c r="H289" s="44">
        <v>7</v>
      </c>
      <c r="I289" s="56">
        <v>12.8023104441576</v>
      </c>
      <c r="J289" s="56">
        <v>12.8023104441576</v>
      </c>
      <c r="K289" s="56">
        <v>12</v>
      </c>
      <c r="L289" s="56">
        <v>8</v>
      </c>
    </row>
    <row r="290" spans="1:12" ht="26.45">
      <c r="A290" s="47">
        <v>2024</v>
      </c>
      <c r="B290" s="47" t="s">
        <v>447</v>
      </c>
      <c r="C290" s="47" t="s">
        <v>8081</v>
      </c>
      <c r="D290" s="50" t="s">
        <v>1234</v>
      </c>
      <c r="E290" s="47" t="s">
        <v>8981</v>
      </c>
      <c r="F290" s="49">
        <v>45006.810820486098</v>
      </c>
      <c r="G290" s="47" t="s">
        <v>8984</v>
      </c>
      <c r="H290" s="47">
        <v>1</v>
      </c>
      <c r="I290" s="57">
        <v>59.676822124694198</v>
      </c>
      <c r="J290" s="57">
        <v>18</v>
      </c>
      <c r="K290" s="57">
        <v>12</v>
      </c>
      <c r="L290" s="57">
        <v>8</v>
      </c>
    </row>
    <row r="291" spans="1:12" ht="26.45">
      <c r="A291" s="44">
        <v>2024</v>
      </c>
      <c r="B291" s="44" t="s">
        <v>448</v>
      </c>
      <c r="C291" s="44" t="s">
        <v>8090</v>
      </c>
      <c r="D291" s="46" t="s">
        <v>1235</v>
      </c>
      <c r="E291" s="44" t="s">
        <v>8981</v>
      </c>
      <c r="F291" s="51">
        <v>45012.920168136603</v>
      </c>
      <c r="G291" s="44" t="s">
        <v>8988</v>
      </c>
      <c r="H291" s="44">
        <v>0</v>
      </c>
      <c r="I291" s="56">
        <v>0</v>
      </c>
      <c r="J291" s="56">
        <v>0</v>
      </c>
      <c r="K291" s="56">
        <v>12</v>
      </c>
      <c r="L291" s="56">
        <v>8</v>
      </c>
    </row>
    <row r="292" spans="1:12" ht="26.45">
      <c r="A292" s="47">
        <v>2024</v>
      </c>
      <c r="B292" s="47" t="s">
        <v>451</v>
      </c>
      <c r="C292" s="47" t="s">
        <v>8164</v>
      </c>
      <c r="D292" s="50" t="s">
        <v>1240</v>
      </c>
      <c r="E292" s="47" t="s">
        <v>8981</v>
      </c>
      <c r="F292" s="49">
        <v>45043.985727580999</v>
      </c>
      <c r="G292" s="47" t="s">
        <v>8989</v>
      </c>
      <c r="H292" s="47">
        <v>0</v>
      </c>
      <c r="I292" s="57">
        <v>22.215788716151302</v>
      </c>
      <c r="J292" s="57">
        <v>18</v>
      </c>
      <c r="K292" s="57">
        <v>4.9000000000000004</v>
      </c>
      <c r="L292" s="57">
        <v>4.9000000000000004</v>
      </c>
    </row>
    <row r="293" spans="1:12" ht="26.45">
      <c r="A293" s="44">
        <v>2024</v>
      </c>
      <c r="B293" s="44" t="s">
        <v>1241</v>
      </c>
      <c r="C293" s="44" t="s">
        <v>8171</v>
      </c>
      <c r="D293" s="46" t="s">
        <v>1242</v>
      </c>
      <c r="E293" s="44" t="s">
        <v>8981</v>
      </c>
      <c r="F293" s="51">
        <v>45041.833112615699</v>
      </c>
      <c r="G293" s="44" t="s">
        <v>8989</v>
      </c>
      <c r="H293" s="44">
        <v>0</v>
      </c>
      <c r="I293" s="56">
        <v>35.423567791677598</v>
      </c>
      <c r="J293" s="56">
        <v>18</v>
      </c>
      <c r="K293" s="56">
        <v>4.47</v>
      </c>
      <c r="L293" s="56">
        <v>4.47</v>
      </c>
    </row>
    <row r="294" spans="1:12" ht="26.45">
      <c r="A294" s="47">
        <v>2024</v>
      </c>
      <c r="B294" s="47" t="s">
        <v>453</v>
      </c>
      <c r="C294" s="47" t="s">
        <v>8197</v>
      </c>
      <c r="D294" s="50" t="s">
        <v>1246</v>
      </c>
      <c r="E294" s="47" t="s">
        <v>8981</v>
      </c>
      <c r="F294" s="49">
        <v>45138.810390821804</v>
      </c>
      <c r="G294" s="47" t="s">
        <v>8989</v>
      </c>
      <c r="H294" s="47">
        <v>4</v>
      </c>
      <c r="I294" s="57">
        <v>7.4125205243236003</v>
      </c>
      <c r="J294" s="57">
        <v>7.4125205243236003</v>
      </c>
      <c r="K294" s="57">
        <v>0</v>
      </c>
      <c r="L294" s="57">
        <v>0</v>
      </c>
    </row>
    <row r="295" spans="1:12" ht="26.45">
      <c r="A295" s="44">
        <v>2024</v>
      </c>
      <c r="B295" s="44" t="s">
        <v>85</v>
      </c>
      <c r="C295" s="44" t="s">
        <v>2279</v>
      </c>
      <c r="D295" s="46" t="s">
        <v>621</v>
      </c>
      <c r="E295" s="44" t="s">
        <v>8981</v>
      </c>
      <c r="F295" s="51">
        <v>45070.985242048599</v>
      </c>
      <c r="G295" s="44" t="s">
        <v>8989</v>
      </c>
      <c r="H295" s="44">
        <v>0</v>
      </c>
      <c r="I295" s="56">
        <v>26.4</v>
      </c>
      <c r="J295" s="56">
        <v>18</v>
      </c>
      <c r="K295" s="56">
        <v>12</v>
      </c>
      <c r="L295" s="56">
        <v>8</v>
      </c>
    </row>
    <row r="296" spans="1:12" ht="26.45">
      <c r="A296" s="47">
        <v>2024</v>
      </c>
      <c r="B296" s="47" t="s">
        <v>456</v>
      </c>
      <c r="C296" s="47" t="s">
        <v>8235</v>
      </c>
      <c r="D296" s="50" t="s">
        <v>1251</v>
      </c>
      <c r="E296" s="47" t="s">
        <v>8991</v>
      </c>
      <c r="F296" s="49">
        <v>45057.774684294003</v>
      </c>
      <c r="G296" s="47" t="s">
        <v>9001</v>
      </c>
      <c r="H296" s="47"/>
      <c r="I296" s="57">
        <v>0</v>
      </c>
      <c r="J296" s="57">
        <v>0</v>
      </c>
      <c r="K296" s="57">
        <v>0</v>
      </c>
      <c r="L296" s="57">
        <v>0</v>
      </c>
    </row>
    <row r="297" spans="1:12" ht="26.45">
      <c r="A297" s="44">
        <v>2024</v>
      </c>
      <c r="B297" s="44" t="s">
        <v>457</v>
      </c>
      <c r="C297" s="44" t="s">
        <v>8246</v>
      </c>
      <c r="D297" s="46" t="s">
        <v>1252</v>
      </c>
      <c r="E297" s="44" t="s">
        <v>8981</v>
      </c>
      <c r="F297" s="51">
        <v>45160.729485069402</v>
      </c>
      <c r="G297" s="44" t="s">
        <v>8989</v>
      </c>
      <c r="H297" s="44">
        <v>0</v>
      </c>
      <c r="I297" s="56">
        <v>0</v>
      </c>
      <c r="J297" s="56">
        <v>0</v>
      </c>
      <c r="K297" s="56">
        <v>0</v>
      </c>
      <c r="L297" s="56">
        <v>0</v>
      </c>
    </row>
    <row r="298" spans="1:12" ht="39.6">
      <c r="A298" s="47">
        <v>2024</v>
      </c>
      <c r="B298" s="47" t="s">
        <v>1253</v>
      </c>
      <c r="C298" s="47" t="s">
        <v>8289</v>
      </c>
      <c r="D298" s="50" t="s">
        <v>1254</v>
      </c>
      <c r="E298" s="47" t="s">
        <v>8986</v>
      </c>
      <c r="F298" s="49">
        <v>45083.960805902803</v>
      </c>
      <c r="G298" s="47" t="s">
        <v>8989</v>
      </c>
      <c r="H298" s="47">
        <v>1</v>
      </c>
      <c r="I298" s="57">
        <v>11.0989990076509</v>
      </c>
      <c r="J298" s="57">
        <v>11.0989990076509</v>
      </c>
      <c r="K298" s="57">
        <v>12</v>
      </c>
      <c r="L298" s="57">
        <v>8</v>
      </c>
    </row>
    <row r="299" spans="1:12" ht="26.45">
      <c r="A299" s="44">
        <v>2024</v>
      </c>
      <c r="B299" s="44" t="s">
        <v>458</v>
      </c>
      <c r="C299" s="44" t="s">
        <v>8321</v>
      </c>
      <c r="D299" s="46" t="s">
        <v>1257</v>
      </c>
      <c r="E299" s="44" t="s">
        <v>8981</v>
      </c>
      <c r="F299" s="51">
        <v>45063.877209803199</v>
      </c>
      <c r="G299" s="44" t="s">
        <v>8989</v>
      </c>
      <c r="H299" s="44">
        <v>0</v>
      </c>
      <c r="I299" s="56">
        <v>26.005328242242001</v>
      </c>
      <c r="J299" s="56">
        <v>18</v>
      </c>
      <c r="K299" s="56">
        <v>4.32</v>
      </c>
      <c r="L299" s="56">
        <v>4.32</v>
      </c>
    </row>
    <row r="300" spans="1:12" ht="26.45">
      <c r="A300" s="47">
        <v>2024</v>
      </c>
      <c r="B300" s="47" t="s">
        <v>1258</v>
      </c>
      <c r="C300" s="47" t="s">
        <v>8328</v>
      </c>
      <c r="D300" s="50" t="s">
        <v>1259</v>
      </c>
      <c r="E300" s="47" t="s">
        <v>8981</v>
      </c>
      <c r="F300" s="49">
        <v>45006.986798576399</v>
      </c>
      <c r="G300" s="47" t="s">
        <v>8989</v>
      </c>
      <c r="H300" s="47">
        <v>1</v>
      </c>
      <c r="I300" s="57">
        <v>4.1620530089009904</v>
      </c>
      <c r="J300" s="57">
        <v>4.1620530089009904</v>
      </c>
      <c r="K300" s="57">
        <v>3.68</v>
      </c>
      <c r="L300" s="57">
        <v>3.68</v>
      </c>
    </row>
    <row r="301" spans="1:12" ht="26.45">
      <c r="A301" s="44">
        <v>2024</v>
      </c>
      <c r="B301" s="44" t="s">
        <v>459</v>
      </c>
      <c r="C301" s="44" t="s">
        <v>8335</v>
      </c>
      <c r="D301" s="46" t="s">
        <v>1260</v>
      </c>
      <c r="E301" s="44" t="s">
        <v>8981</v>
      </c>
      <c r="F301" s="51">
        <v>45114.703231365696</v>
      </c>
      <c r="G301" s="44" t="s">
        <v>8984</v>
      </c>
      <c r="H301" s="44">
        <v>1</v>
      </c>
      <c r="I301" s="56">
        <v>3.8265473786278501</v>
      </c>
      <c r="J301" s="56">
        <v>3.8265473786278501</v>
      </c>
      <c r="K301" s="56">
        <v>0</v>
      </c>
      <c r="L301" s="56">
        <v>0</v>
      </c>
    </row>
    <row r="302" spans="1:12" ht="26.45">
      <c r="A302" s="47">
        <v>2024</v>
      </c>
      <c r="B302" s="47" t="s">
        <v>460</v>
      </c>
      <c r="C302" s="47" t="s">
        <v>8341</v>
      </c>
      <c r="D302" s="50" t="s">
        <v>1261</v>
      </c>
      <c r="E302" s="47" t="s">
        <v>8981</v>
      </c>
      <c r="F302" s="49">
        <v>45016.750311423602</v>
      </c>
      <c r="G302" s="47" t="s">
        <v>8989</v>
      </c>
      <c r="H302" s="47">
        <v>1</v>
      </c>
      <c r="I302" s="57">
        <v>32.805947159033202</v>
      </c>
      <c r="J302" s="57">
        <v>18</v>
      </c>
      <c r="K302" s="57">
        <v>0.43</v>
      </c>
      <c r="L302" s="57">
        <v>0.43</v>
      </c>
    </row>
    <row r="303" spans="1:12" ht="26.45">
      <c r="A303" s="44">
        <v>2024</v>
      </c>
      <c r="B303" s="44" t="s">
        <v>461</v>
      </c>
      <c r="C303" s="44" t="s">
        <v>8352</v>
      </c>
      <c r="D303" s="46" t="s">
        <v>1262</v>
      </c>
      <c r="E303" s="44" t="s">
        <v>8991</v>
      </c>
      <c r="F303" s="51">
        <v>45124.5255610764</v>
      </c>
      <c r="G303" s="44" t="s">
        <v>9002</v>
      </c>
      <c r="H303" s="44"/>
      <c r="I303" s="56">
        <v>0</v>
      </c>
      <c r="J303" s="56">
        <v>0</v>
      </c>
      <c r="K303" s="56">
        <v>0</v>
      </c>
      <c r="L303" s="56">
        <v>0</v>
      </c>
    </row>
    <row r="304" spans="1:12" ht="26.45">
      <c r="A304" s="47">
        <v>2024</v>
      </c>
      <c r="B304" s="47" t="s">
        <v>1265</v>
      </c>
      <c r="C304" s="47" t="s">
        <v>8384</v>
      </c>
      <c r="D304" s="50" t="s">
        <v>1266</v>
      </c>
      <c r="E304" s="47" t="s">
        <v>8981</v>
      </c>
      <c r="F304" s="49">
        <v>45056.876265312501</v>
      </c>
      <c r="G304" s="47" t="s">
        <v>8989</v>
      </c>
      <c r="H304" s="47">
        <v>0</v>
      </c>
      <c r="I304" s="57">
        <v>53.01467909094</v>
      </c>
      <c r="J304" s="57">
        <v>18</v>
      </c>
      <c r="K304" s="57">
        <v>12</v>
      </c>
      <c r="L304" s="57">
        <v>8</v>
      </c>
    </row>
    <row r="305" spans="1:12" ht="26.45">
      <c r="A305" s="44">
        <v>2024</v>
      </c>
      <c r="B305" s="44" t="s">
        <v>464</v>
      </c>
      <c r="C305" s="44" t="s">
        <v>8388</v>
      </c>
      <c r="D305" s="46" t="s">
        <v>1267</v>
      </c>
      <c r="E305" s="44" t="s">
        <v>8981</v>
      </c>
      <c r="F305" s="51">
        <v>45015.851945717601</v>
      </c>
      <c r="G305" s="44" t="s">
        <v>8984</v>
      </c>
      <c r="H305" s="44">
        <v>9</v>
      </c>
      <c r="I305" s="56">
        <v>46.887651084340298</v>
      </c>
      <c r="J305" s="56">
        <v>18</v>
      </c>
      <c r="K305" s="56">
        <v>6.45</v>
      </c>
      <c r="L305" s="56">
        <v>6.45</v>
      </c>
    </row>
    <row r="306" spans="1:12" ht="39.6">
      <c r="A306" s="47">
        <v>2024</v>
      </c>
      <c r="B306" s="47" t="s">
        <v>465</v>
      </c>
      <c r="C306" s="47" t="s">
        <v>8407</v>
      </c>
      <c r="D306" s="50" t="s">
        <v>1268</v>
      </c>
      <c r="E306" s="47" t="s">
        <v>8986</v>
      </c>
      <c r="F306" s="49">
        <v>45078.645711539401</v>
      </c>
      <c r="G306" s="47" t="s">
        <v>8983</v>
      </c>
      <c r="H306" s="47">
        <v>8</v>
      </c>
      <c r="I306" s="57">
        <v>17.0825493446964</v>
      </c>
      <c r="J306" s="57">
        <v>17.0825493446964</v>
      </c>
      <c r="K306" s="57">
        <v>0</v>
      </c>
      <c r="L306" s="57">
        <v>0</v>
      </c>
    </row>
    <row r="307" spans="1:12" ht="26.45">
      <c r="A307" s="44">
        <v>2024</v>
      </c>
      <c r="B307" s="44" t="s">
        <v>466</v>
      </c>
      <c r="C307" s="44" t="s">
        <v>8414</v>
      </c>
      <c r="D307" s="46" t="s">
        <v>1269</v>
      </c>
      <c r="E307" s="44" t="s">
        <v>8981</v>
      </c>
      <c r="F307" s="51">
        <v>45076.7912637384</v>
      </c>
      <c r="G307" s="44" t="s">
        <v>8990</v>
      </c>
      <c r="H307" s="44">
        <v>0</v>
      </c>
      <c r="I307" s="56">
        <v>29.729461306213199</v>
      </c>
      <c r="J307" s="56">
        <v>18</v>
      </c>
      <c r="K307" s="56">
        <v>12</v>
      </c>
      <c r="L307" s="56">
        <v>8</v>
      </c>
    </row>
    <row r="308" spans="1:12" ht="26.45">
      <c r="A308" s="47">
        <v>2024</v>
      </c>
      <c r="B308" s="47" t="s">
        <v>467</v>
      </c>
      <c r="C308" s="47" t="s">
        <v>8433</v>
      </c>
      <c r="D308" s="50" t="s">
        <v>1272</v>
      </c>
      <c r="E308" s="47" t="s">
        <v>8981</v>
      </c>
      <c r="F308" s="49">
        <v>45043.8541106829</v>
      </c>
      <c r="G308" s="47" t="s">
        <v>8984</v>
      </c>
      <c r="H308" s="47">
        <v>0</v>
      </c>
      <c r="I308" s="57">
        <v>26.091213983559701</v>
      </c>
      <c r="J308" s="57">
        <v>18</v>
      </c>
      <c r="K308" s="57">
        <v>3.52</v>
      </c>
      <c r="L308" s="57">
        <v>3.52</v>
      </c>
    </row>
    <row r="309" spans="1:12" ht="26.45">
      <c r="A309" s="44">
        <v>2024</v>
      </c>
      <c r="B309" s="44" t="s">
        <v>1273</v>
      </c>
      <c r="C309" s="44" t="s">
        <v>8442</v>
      </c>
      <c r="D309" s="46" t="s">
        <v>1274</v>
      </c>
      <c r="E309" s="44" t="s">
        <v>8981</v>
      </c>
      <c r="F309" s="51">
        <v>45061.8615351505</v>
      </c>
      <c r="G309" s="44" t="s">
        <v>8984</v>
      </c>
      <c r="H309" s="44">
        <v>0</v>
      </c>
      <c r="I309" s="56">
        <v>34.248288128319203</v>
      </c>
      <c r="J309" s="56">
        <v>18</v>
      </c>
      <c r="K309" s="56">
        <v>12</v>
      </c>
      <c r="L309" s="56">
        <v>8</v>
      </c>
    </row>
    <row r="310" spans="1:12" ht="26.45">
      <c r="A310" s="47">
        <v>2024</v>
      </c>
      <c r="B310" s="47" t="s">
        <v>469</v>
      </c>
      <c r="C310" s="47" t="s">
        <v>8468</v>
      </c>
      <c r="D310" s="50" t="s">
        <v>1276</v>
      </c>
      <c r="E310" s="47" t="s">
        <v>8981</v>
      </c>
      <c r="F310" s="49">
        <v>45064.879005057897</v>
      </c>
      <c r="G310" s="47" t="s">
        <v>8989</v>
      </c>
      <c r="H310" s="47">
        <v>0</v>
      </c>
      <c r="I310" s="57">
        <v>36.319727698975399</v>
      </c>
      <c r="J310" s="57">
        <v>18</v>
      </c>
      <c r="K310" s="57">
        <v>5.6</v>
      </c>
      <c r="L310" s="57">
        <v>5.6</v>
      </c>
    </row>
    <row r="311" spans="1:12" ht="26.45">
      <c r="A311" s="44">
        <v>2024</v>
      </c>
      <c r="B311" s="44" t="s">
        <v>470</v>
      </c>
      <c r="C311" s="44" t="s">
        <v>8489</v>
      </c>
      <c r="D311" s="46" t="s">
        <v>1277</v>
      </c>
      <c r="E311" s="44" t="s">
        <v>8981</v>
      </c>
      <c r="F311" s="51">
        <v>45072.736641932897</v>
      </c>
      <c r="G311" s="44" t="s">
        <v>8990</v>
      </c>
      <c r="H311" s="44">
        <v>0</v>
      </c>
      <c r="I311" s="56">
        <v>27.496416875155699</v>
      </c>
      <c r="J311" s="56">
        <v>18</v>
      </c>
      <c r="K311" s="56">
        <v>3.83</v>
      </c>
      <c r="L311" s="56">
        <v>3.83</v>
      </c>
    </row>
    <row r="312" spans="1:12" ht="26.45">
      <c r="A312" s="47">
        <v>2024</v>
      </c>
      <c r="B312" s="47" t="s">
        <v>1280</v>
      </c>
      <c r="C312" s="47" t="s">
        <v>8543</v>
      </c>
      <c r="D312" s="50" t="s">
        <v>1281</v>
      </c>
      <c r="E312" s="47" t="s">
        <v>8991</v>
      </c>
      <c r="F312" s="49">
        <v>45331.8723616551</v>
      </c>
      <c r="G312" s="47" t="s">
        <v>9003</v>
      </c>
      <c r="H312" s="47"/>
      <c r="I312" s="57">
        <v>0</v>
      </c>
      <c r="J312" s="57">
        <v>0</v>
      </c>
      <c r="K312" s="57">
        <v>0</v>
      </c>
      <c r="L312" s="57">
        <v>0</v>
      </c>
    </row>
    <row r="313" spans="1:12" ht="26.45">
      <c r="A313" s="44">
        <v>2024</v>
      </c>
      <c r="B313" s="44" t="s">
        <v>1285</v>
      </c>
      <c r="C313" s="44" t="s">
        <v>8572</v>
      </c>
      <c r="D313" s="46" t="s">
        <v>1286</v>
      </c>
      <c r="E313" s="44" t="s">
        <v>8981</v>
      </c>
      <c r="F313" s="51">
        <v>45057.694981099499</v>
      </c>
      <c r="G313" s="44" t="s">
        <v>8989</v>
      </c>
      <c r="H313" s="44">
        <v>0</v>
      </c>
      <c r="I313" s="56">
        <v>57.873524051180702</v>
      </c>
      <c r="J313" s="56">
        <v>18</v>
      </c>
      <c r="K313" s="56">
        <v>12</v>
      </c>
      <c r="L313" s="56">
        <v>8</v>
      </c>
    </row>
    <row r="314" spans="1:12" ht="26.45">
      <c r="A314" s="47">
        <v>2024</v>
      </c>
      <c r="B314" s="47" t="s">
        <v>474</v>
      </c>
      <c r="C314" s="47" t="s">
        <v>8577</v>
      </c>
      <c r="D314" s="50" t="s">
        <v>1287</v>
      </c>
      <c r="E314" s="47" t="s">
        <v>8981</v>
      </c>
      <c r="F314" s="49">
        <v>45083.833575266202</v>
      </c>
      <c r="G314" s="47" t="s">
        <v>8990</v>
      </c>
      <c r="H314" s="47">
        <v>2</v>
      </c>
      <c r="I314" s="57">
        <v>33.3096425207764</v>
      </c>
      <c r="J314" s="57">
        <v>18</v>
      </c>
      <c r="K314" s="57">
        <v>12</v>
      </c>
      <c r="L314" s="57">
        <v>8</v>
      </c>
    </row>
    <row r="315" spans="1:12" ht="26.45">
      <c r="A315" s="44">
        <v>2024</v>
      </c>
      <c r="B315" s="44" t="s">
        <v>475</v>
      </c>
      <c r="C315" s="44" t="s">
        <v>8590</v>
      </c>
      <c r="D315" s="46" t="s">
        <v>1288</v>
      </c>
      <c r="E315" s="44" t="s">
        <v>8981</v>
      </c>
      <c r="F315" s="51">
        <v>45006.9174595718</v>
      </c>
      <c r="G315" s="44" t="s">
        <v>8989</v>
      </c>
      <c r="H315" s="44">
        <v>5</v>
      </c>
      <c r="I315" s="56">
        <v>0</v>
      </c>
      <c r="J315" s="56">
        <v>0</v>
      </c>
      <c r="K315" s="56">
        <v>12</v>
      </c>
      <c r="L315" s="56">
        <v>8</v>
      </c>
    </row>
    <row r="316" spans="1:12" ht="26.45">
      <c r="A316" s="47">
        <v>2024</v>
      </c>
      <c r="B316" s="47" t="s">
        <v>477</v>
      </c>
      <c r="C316" s="47" t="s">
        <v>8637</v>
      </c>
      <c r="D316" s="50" t="s">
        <v>1292</v>
      </c>
      <c r="E316" s="47" t="s">
        <v>8981</v>
      </c>
      <c r="F316" s="49">
        <v>45156.639898842601</v>
      </c>
      <c r="G316" s="47" t="s">
        <v>8989</v>
      </c>
      <c r="H316" s="47">
        <v>0</v>
      </c>
      <c r="I316" s="57">
        <v>62.328116590587797</v>
      </c>
      <c r="J316" s="57">
        <v>18</v>
      </c>
      <c r="K316" s="57">
        <v>12</v>
      </c>
      <c r="L316" s="57">
        <v>8</v>
      </c>
    </row>
    <row r="317" spans="1:12" ht="26.45">
      <c r="A317" s="44">
        <v>2024</v>
      </c>
      <c r="B317" s="44" t="s">
        <v>478</v>
      </c>
      <c r="C317" s="44" t="s">
        <v>8656</v>
      </c>
      <c r="D317" s="46" t="s">
        <v>1293</v>
      </c>
      <c r="E317" s="44" t="s">
        <v>8981</v>
      </c>
      <c r="F317" s="51">
        <v>45001.867276504599</v>
      </c>
      <c r="G317" s="44" t="s">
        <v>8989</v>
      </c>
      <c r="H317" s="44">
        <v>16</v>
      </c>
      <c r="I317" s="56">
        <v>22.544321032445801</v>
      </c>
      <c r="J317" s="56">
        <v>18</v>
      </c>
      <c r="K317" s="56">
        <v>4.7300000000000004</v>
      </c>
      <c r="L317" s="56">
        <v>4.7300000000000004</v>
      </c>
    </row>
    <row r="318" spans="1:12" ht="26.45">
      <c r="A318" s="47">
        <v>2024</v>
      </c>
      <c r="B318" s="47" t="s">
        <v>483</v>
      </c>
      <c r="C318" s="47" t="s">
        <v>8694</v>
      </c>
      <c r="D318" s="50" t="s">
        <v>1298</v>
      </c>
      <c r="E318" s="47" t="s">
        <v>8981</v>
      </c>
      <c r="F318" s="49">
        <v>45077.847572303202</v>
      </c>
      <c r="G318" s="47" t="s">
        <v>8989</v>
      </c>
      <c r="H318" s="47">
        <v>0</v>
      </c>
      <c r="I318" s="57">
        <v>53.2000367881447</v>
      </c>
      <c r="J318" s="57">
        <v>18</v>
      </c>
      <c r="K318" s="57">
        <v>12</v>
      </c>
      <c r="L318" s="57">
        <v>8</v>
      </c>
    </row>
    <row r="319" spans="1:12" ht="26.45">
      <c r="A319" s="44">
        <v>2024</v>
      </c>
      <c r="B319" s="44" t="s">
        <v>8701</v>
      </c>
      <c r="C319" s="44" t="s">
        <v>8702</v>
      </c>
      <c r="D319" s="46" t="s">
        <v>8703</v>
      </c>
      <c r="E319" s="44" t="s">
        <v>8991</v>
      </c>
      <c r="F319" s="51">
        <v>44988.646920370396</v>
      </c>
      <c r="G319" s="44" t="s">
        <v>9004</v>
      </c>
      <c r="H319" s="44"/>
      <c r="I319" s="56">
        <v>0</v>
      </c>
      <c r="J319" s="56">
        <v>0</v>
      </c>
      <c r="K319" s="56">
        <v>0</v>
      </c>
      <c r="L319" s="56">
        <v>0</v>
      </c>
    </row>
    <row r="320" spans="1:12" ht="26.45">
      <c r="A320" s="47">
        <v>2024</v>
      </c>
      <c r="B320" s="47" t="s">
        <v>484</v>
      </c>
      <c r="C320" s="47" t="s">
        <v>8750</v>
      </c>
      <c r="D320" s="50" t="s">
        <v>1301</v>
      </c>
      <c r="E320" s="47" t="s">
        <v>8981</v>
      </c>
      <c r="F320" s="49">
        <v>45078.954787233801</v>
      </c>
      <c r="G320" s="47" t="s">
        <v>8990</v>
      </c>
      <c r="H320" s="47">
        <v>0</v>
      </c>
      <c r="I320" s="57">
        <v>30.502585927397099</v>
      </c>
      <c r="J320" s="57">
        <v>18</v>
      </c>
      <c r="K320" s="57">
        <v>12</v>
      </c>
      <c r="L320" s="57">
        <v>8</v>
      </c>
    </row>
    <row r="321" spans="1:12" ht="26.45">
      <c r="A321" s="44">
        <v>2024</v>
      </c>
      <c r="B321" s="44" t="s">
        <v>485</v>
      </c>
      <c r="C321" s="44" t="s">
        <v>8758</v>
      </c>
      <c r="D321" s="46" t="s">
        <v>1302</v>
      </c>
      <c r="E321" s="44" t="s">
        <v>8981</v>
      </c>
      <c r="F321" s="51">
        <v>45006.951726817097</v>
      </c>
      <c r="G321" s="44" t="s">
        <v>8989</v>
      </c>
      <c r="H321" s="44">
        <v>19</v>
      </c>
      <c r="I321" s="56">
        <v>39.151641231656399</v>
      </c>
      <c r="J321" s="56">
        <v>18</v>
      </c>
      <c r="K321" s="56">
        <v>2.35</v>
      </c>
      <c r="L321" s="56">
        <v>2.35</v>
      </c>
    </row>
    <row r="322" spans="1:12" ht="26.45">
      <c r="A322" s="47">
        <v>2024</v>
      </c>
      <c r="B322" s="47" t="s">
        <v>486</v>
      </c>
      <c r="C322" s="47" t="s">
        <v>8776</v>
      </c>
      <c r="D322" s="50" t="s">
        <v>1303</v>
      </c>
      <c r="E322" s="47" t="s">
        <v>8981</v>
      </c>
      <c r="F322" s="49">
        <v>45062.656983831002</v>
      </c>
      <c r="G322" s="47" t="s">
        <v>8989</v>
      </c>
      <c r="H322" s="47">
        <v>1</v>
      </c>
      <c r="I322" s="57">
        <v>40.988226218495399</v>
      </c>
      <c r="J322" s="57">
        <v>18</v>
      </c>
      <c r="K322" s="57">
        <v>12</v>
      </c>
      <c r="L322" s="57">
        <v>8</v>
      </c>
    </row>
    <row r="323" spans="1:12" ht="26.45">
      <c r="A323" s="44">
        <v>2024</v>
      </c>
      <c r="B323" s="44" t="s">
        <v>487</v>
      </c>
      <c r="C323" s="44" t="s">
        <v>8790</v>
      </c>
      <c r="D323" s="46" t="s">
        <v>1304</v>
      </c>
      <c r="E323" s="44" t="s">
        <v>8981</v>
      </c>
      <c r="F323" s="51">
        <v>45077.911536076397</v>
      </c>
      <c r="G323" s="44" t="s">
        <v>8990</v>
      </c>
      <c r="H323" s="44">
        <v>0</v>
      </c>
      <c r="I323" s="56">
        <v>41.123671591650002</v>
      </c>
      <c r="J323" s="56">
        <v>18</v>
      </c>
      <c r="K323" s="56">
        <v>12</v>
      </c>
      <c r="L323" s="56">
        <v>8</v>
      </c>
    </row>
    <row r="324" spans="1:12" ht="26.45">
      <c r="A324" s="47">
        <v>2024</v>
      </c>
      <c r="B324" s="47" t="s">
        <v>488</v>
      </c>
      <c r="C324" s="47" t="s">
        <v>8805</v>
      </c>
      <c r="D324" s="50" t="s">
        <v>1305</v>
      </c>
      <c r="E324" s="47" t="s">
        <v>8981</v>
      </c>
      <c r="F324" s="49">
        <v>45021.7413964468</v>
      </c>
      <c r="G324" s="47" t="s">
        <v>8989</v>
      </c>
      <c r="H324" s="47">
        <v>12</v>
      </c>
      <c r="I324" s="57">
        <v>32.834145013433002</v>
      </c>
      <c r="J324" s="57">
        <v>18</v>
      </c>
      <c r="K324" s="57">
        <v>2.88</v>
      </c>
      <c r="L324" s="57">
        <v>2.88</v>
      </c>
    </row>
    <row r="325" spans="1:12" ht="26.45">
      <c r="A325" s="44">
        <v>2024</v>
      </c>
      <c r="B325" s="44" t="s">
        <v>490</v>
      </c>
      <c r="C325" s="44" t="s">
        <v>8820</v>
      </c>
      <c r="D325" s="46" t="s">
        <v>1307</v>
      </c>
      <c r="E325" s="44" t="s">
        <v>8981</v>
      </c>
      <c r="F325" s="51">
        <v>45069.883183101898</v>
      </c>
      <c r="G325" s="44" t="s">
        <v>8990</v>
      </c>
      <c r="H325" s="44">
        <v>0</v>
      </c>
      <c r="I325" s="56">
        <v>34.382701144676901</v>
      </c>
      <c r="J325" s="56">
        <v>18</v>
      </c>
      <c r="K325" s="56">
        <v>4.6500000000000004</v>
      </c>
      <c r="L325" s="56">
        <v>4.6500000000000004</v>
      </c>
    </row>
    <row r="326" spans="1:12" ht="26.45">
      <c r="A326" s="47">
        <v>2024</v>
      </c>
      <c r="B326" s="47" t="s">
        <v>493</v>
      </c>
      <c r="C326" s="47" t="s">
        <v>8894</v>
      </c>
      <c r="D326" s="50" t="s">
        <v>1316</v>
      </c>
      <c r="E326" s="47" t="s">
        <v>8981</v>
      </c>
      <c r="F326" s="49">
        <v>45176.769449849497</v>
      </c>
      <c r="G326" s="47" t="s">
        <v>8988</v>
      </c>
      <c r="H326" s="47">
        <v>7</v>
      </c>
      <c r="I326" s="57">
        <v>24.840181765178102</v>
      </c>
      <c r="J326" s="57">
        <v>18</v>
      </c>
      <c r="K326" s="57">
        <v>0</v>
      </c>
      <c r="L326" s="57">
        <v>0</v>
      </c>
    </row>
    <row r="327" spans="1:12" ht="26.45">
      <c r="A327" s="44">
        <v>2024</v>
      </c>
      <c r="B327" s="44" t="s">
        <v>1325</v>
      </c>
      <c r="C327" s="44" t="s">
        <v>8945</v>
      </c>
      <c r="D327" s="46" t="s">
        <v>1326</v>
      </c>
      <c r="E327" s="44" t="s">
        <v>8981</v>
      </c>
      <c r="F327" s="51">
        <v>45002.916455208302</v>
      </c>
      <c r="G327" s="44" t="s">
        <v>8990</v>
      </c>
      <c r="H327" s="44">
        <v>3</v>
      </c>
      <c r="I327" s="56">
        <v>30.372288181440801</v>
      </c>
      <c r="J327" s="56">
        <v>18</v>
      </c>
      <c r="K327" s="56">
        <v>12</v>
      </c>
      <c r="L327" s="56">
        <v>8</v>
      </c>
    </row>
    <row r="328" spans="1:12" ht="26.45">
      <c r="A328" s="47">
        <v>2024</v>
      </c>
      <c r="B328" s="47" t="s">
        <v>1128</v>
      </c>
      <c r="C328" s="47" t="s">
        <v>6875</v>
      </c>
      <c r="D328" s="50" t="s">
        <v>1129</v>
      </c>
      <c r="E328" s="47" t="s">
        <v>8981</v>
      </c>
      <c r="F328" s="49">
        <v>45064.978440659703</v>
      </c>
      <c r="G328" s="47" t="s">
        <v>8983</v>
      </c>
      <c r="H328" s="47">
        <v>7</v>
      </c>
      <c r="I328" s="57">
        <v>0</v>
      </c>
      <c r="J328" s="57">
        <v>0</v>
      </c>
      <c r="K328" s="57">
        <v>10.08</v>
      </c>
      <c r="L328" s="57">
        <v>8</v>
      </c>
    </row>
    <row r="329" spans="1:12" ht="39.6">
      <c r="A329" s="44">
        <v>2024</v>
      </c>
      <c r="B329" s="44" t="s">
        <v>495</v>
      </c>
      <c r="C329" s="44" t="s">
        <v>8932</v>
      </c>
      <c r="D329" s="46" t="s">
        <v>1322</v>
      </c>
      <c r="E329" s="44" t="s">
        <v>8986</v>
      </c>
      <c r="F329" s="51">
        <v>45061.753304629601</v>
      </c>
      <c r="G329" s="44" t="s">
        <v>8990</v>
      </c>
      <c r="H329" s="44">
        <v>0</v>
      </c>
      <c r="I329" s="56">
        <v>26.426503377438198</v>
      </c>
      <c r="J329" s="56">
        <v>18</v>
      </c>
      <c r="K329" s="56">
        <v>3.31</v>
      </c>
      <c r="L329" s="56">
        <v>3.31</v>
      </c>
    </row>
    <row r="330" spans="1:12" ht="26.45">
      <c r="A330" s="47">
        <v>2024</v>
      </c>
      <c r="B330" s="47" t="s">
        <v>839</v>
      </c>
      <c r="C330" s="47" t="s">
        <v>4415</v>
      </c>
      <c r="D330" s="50" t="s">
        <v>840</v>
      </c>
      <c r="E330" s="47" t="s">
        <v>8981</v>
      </c>
      <c r="F330" s="49">
        <v>45091.771263425901</v>
      </c>
      <c r="G330" s="47" t="s">
        <v>8990</v>
      </c>
      <c r="H330" s="47">
        <v>0</v>
      </c>
      <c r="I330" s="57">
        <v>45.643668865657403</v>
      </c>
      <c r="J330" s="57">
        <v>18</v>
      </c>
      <c r="K330" s="57">
        <v>12</v>
      </c>
      <c r="L330" s="57">
        <v>8</v>
      </c>
    </row>
    <row r="331" spans="1:12" ht="0" hidden="1" customHeight="1"/>
  </sheetData>
  <pageMargins left="1" right="1" top="1" bottom="1.45" header="1" footer="1"/>
  <pageSetup orientation="portrait" horizontalDpi="300" verticalDpi="300"/>
  <headerFooter alignWithMargins="0">
    <oddFooter>&amp;L&amp;"Arial,Regular"&amp;10 3/8/2024 10:20:28 PM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53"/>
  <sheetViews>
    <sheetView showGridLines="0" workbookViewId="0">
      <selection activeCell="D7" sqref="D7"/>
    </sheetView>
  </sheetViews>
  <sheetFormatPr defaultColWidth="8.85546875" defaultRowHeight="14.45"/>
  <cols>
    <col min="1" max="1" width="13.7109375" style="38" customWidth="1"/>
    <col min="2" max="2" width="27.28515625" style="38" customWidth="1"/>
    <col min="3" max="3" width="25.28515625" style="38" customWidth="1"/>
    <col min="4" max="4" width="13.7109375" style="38" customWidth="1"/>
    <col min="5" max="5" width="20.7109375" style="38" customWidth="1"/>
    <col min="6" max="11" width="20.28515625" style="38" customWidth="1"/>
    <col min="12" max="12" width="15.7109375" style="38" customWidth="1"/>
    <col min="13" max="13" width="4.5703125" style="38" customWidth="1"/>
    <col min="14" max="16" width="20.28515625" style="38" customWidth="1"/>
    <col min="17" max="17" width="22.28515625" style="38" customWidth="1"/>
    <col min="18" max="16384" width="8.85546875" style="38"/>
  </cols>
  <sheetData>
    <row r="1" spans="1:17" ht="28.9" customHeight="1">
      <c r="A1" s="55" t="s">
        <v>8952</v>
      </c>
    </row>
    <row r="2" spans="1:17" ht="21.6" customHeight="1">
      <c r="A2" s="39" t="s">
        <v>8953</v>
      </c>
    </row>
    <row r="3" spans="1:17" ht="21.6" customHeight="1">
      <c r="A3" s="39" t="s">
        <v>8954</v>
      </c>
    </row>
    <row r="4" spans="1:17" ht="21.6" customHeight="1">
      <c r="A4" s="39" t="s">
        <v>8955</v>
      </c>
    </row>
    <row r="5" spans="1:17" ht="3" customHeight="1"/>
    <row r="6" spans="1:17" ht="26.45">
      <c r="A6" s="40" t="s">
        <v>8956</v>
      </c>
      <c r="B6" s="42" t="s">
        <v>8957</v>
      </c>
      <c r="C6" s="42" t="s">
        <v>8958</v>
      </c>
      <c r="D6" s="40" t="s">
        <v>8959</v>
      </c>
      <c r="E6" s="41" t="s">
        <v>8960</v>
      </c>
      <c r="F6" s="52" t="s">
        <v>8961</v>
      </c>
      <c r="G6" s="52" t="s">
        <v>8962</v>
      </c>
      <c r="H6" s="52" t="s">
        <v>8963</v>
      </c>
      <c r="I6" s="52" t="s">
        <v>8964</v>
      </c>
      <c r="J6" s="52" t="s">
        <v>8965</v>
      </c>
      <c r="K6" s="52" t="s">
        <v>8966</v>
      </c>
      <c r="L6" s="52" t="s">
        <v>8967</v>
      </c>
      <c r="M6" s="43"/>
      <c r="N6" s="52" t="s">
        <v>8968</v>
      </c>
      <c r="O6" s="52" t="s">
        <v>8969</v>
      </c>
      <c r="P6" s="52" t="s">
        <v>8970</v>
      </c>
      <c r="Q6" s="52" t="s">
        <v>8971</v>
      </c>
    </row>
    <row r="7" spans="1:17" ht="26.45">
      <c r="A7" s="44">
        <v>2024</v>
      </c>
      <c r="B7" s="46" t="s">
        <v>1411</v>
      </c>
      <c r="C7" s="46" t="s">
        <v>9005</v>
      </c>
      <c r="D7" s="44" t="s">
        <v>49</v>
      </c>
      <c r="E7" s="45" t="s">
        <v>532</v>
      </c>
      <c r="F7" s="54">
        <v>887.31</v>
      </c>
      <c r="G7" s="54">
        <v>0</v>
      </c>
      <c r="H7" s="54">
        <v>0</v>
      </c>
      <c r="I7" s="54">
        <v>0</v>
      </c>
      <c r="J7" s="54">
        <v>0</v>
      </c>
      <c r="K7" s="54">
        <v>0</v>
      </c>
      <c r="L7" s="54">
        <v>0</v>
      </c>
      <c r="M7" s="43"/>
      <c r="N7" s="54">
        <v>0</v>
      </c>
      <c r="O7" s="54">
        <v>0</v>
      </c>
      <c r="P7" s="54">
        <v>0</v>
      </c>
      <c r="Q7" s="54">
        <v>887.31</v>
      </c>
    </row>
    <row r="8" spans="1:17" ht="39.6">
      <c r="A8" s="44">
        <v>2024</v>
      </c>
      <c r="B8" s="46" t="s">
        <v>1411</v>
      </c>
      <c r="C8" s="46" t="s">
        <v>9005</v>
      </c>
      <c r="D8" s="44" t="s">
        <v>50</v>
      </c>
      <c r="E8" s="45" t="s">
        <v>535</v>
      </c>
      <c r="F8" s="54">
        <v>8006.05</v>
      </c>
      <c r="G8" s="54">
        <v>0</v>
      </c>
      <c r="H8" s="54">
        <v>0</v>
      </c>
      <c r="I8" s="54">
        <v>0</v>
      </c>
      <c r="J8" s="54">
        <v>0</v>
      </c>
      <c r="K8" s="54">
        <v>0</v>
      </c>
      <c r="L8" s="54">
        <v>0</v>
      </c>
      <c r="M8" s="43"/>
      <c r="N8" s="54">
        <v>0</v>
      </c>
      <c r="O8" s="54">
        <v>0</v>
      </c>
      <c r="P8" s="54">
        <v>0</v>
      </c>
      <c r="Q8" s="54">
        <v>8006.05</v>
      </c>
    </row>
    <row r="9" spans="1:17" ht="39.6">
      <c r="A9" s="47">
        <v>2024</v>
      </c>
      <c r="B9" s="50" t="s">
        <v>1411</v>
      </c>
      <c r="C9" s="50" t="s">
        <v>9005</v>
      </c>
      <c r="D9" s="47" t="s">
        <v>51</v>
      </c>
      <c r="E9" s="48" t="s">
        <v>536</v>
      </c>
      <c r="F9" s="53">
        <v>2718.67</v>
      </c>
      <c r="G9" s="53">
        <v>0</v>
      </c>
      <c r="H9" s="53">
        <v>0</v>
      </c>
      <c r="I9" s="53">
        <v>0</v>
      </c>
      <c r="J9" s="53">
        <v>0</v>
      </c>
      <c r="K9" s="53">
        <v>0</v>
      </c>
      <c r="L9" s="53">
        <v>0</v>
      </c>
      <c r="M9" s="43"/>
      <c r="N9" s="53">
        <v>0</v>
      </c>
      <c r="O9" s="53">
        <v>0</v>
      </c>
      <c r="P9" s="53">
        <v>0</v>
      </c>
      <c r="Q9" s="53">
        <v>2718.67</v>
      </c>
    </row>
    <row r="10" spans="1:17" ht="39.6">
      <c r="A10" s="44">
        <v>2024</v>
      </c>
      <c r="B10" s="46" t="s">
        <v>1411</v>
      </c>
      <c r="C10" s="46" t="s">
        <v>9005</v>
      </c>
      <c r="D10" s="44" t="s">
        <v>52</v>
      </c>
      <c r="E10" s="45" t="s">
        <v>536</v>
      </c>
      <c r="F10" s="54">
        <v>858.29</v>
      </c>
      <c r="G10" s="54">
        <v>0</v>
      </c>
      <c r="H10" s="54">
        <v>0</v>
      </c>
      <c r="I10" s="54">
        <v>0</v>
      </c>
      <c r="J10" s="54">
        <v>0</v>
      </c>
      <c r="K10" s="54">
        <v>0</v>
      </c>
      <c r="L10" s="54">
        <v>0</v>
      </c>
      <c r="M10" s="43"/>
      <c r="N10" s="54">
        <v>0</v>
      </c>
      <c r="O10" s="54">
        <v>0</v>
      </c>
      <c r="P10" s="54">
        <v>0</v>
      </c>
      <c r="Q10" s="54">
        <v>858.29</v>
      </c>
    </row>
    <row r="11" spans="1:17" ht="26.45">
      <c r="A11" s="47">
        <v>2024</v>
      </c>
      <c r="B11" s="50" t="s">
        <v>1411</v>
      </c>
      <c r="C11" s="50" t="s">
        <v>9005</v>
      </c>
      <c r="D11" s="47" t="s">
        <v>53</v>
      </c>
      <c r="E11" s="48" t="s">
        <v>537</v>
      </c>
      <c r="F11" s="53">
        <v>1191.6600000000001</v>
      </c>
      <c r="G11" s="53">
        <v>194.04</v>
      </c>
      <c r="H11" s="53">
        <v>0</v>
      </c>
      <c r="I11" s="53">
        <v>0</v>
      </c>
      <c r="J11" s="53">
        <v>0</v>
      </c>
      <c r="K11" s="53">
        <v>0</v>
      </c>
      <c r="L11" s="53">
        <v>0</v>
      </c>
      <c r="M11" s="43"/>
      <c r="N11" s="53">
        <v>0</v>
      </c>
      <c r="O11" s="53">
        <v>0</v>
      </c>
      <c r="P11" s="53">
        <v>0</v>
      </c>
      <c r="Q11" s="53">
        <v>1385.7</v>
      </c>
    </row>
    <row r="12" spans="1:17" ht="26.45">
      <c r="A12" s="47">
        <v>2024</v>
      </c>
      <c r="B12" s="50" t="s">
        <v>1411</v>
      </c>
      <c r="C12" s="50" t="s">
        <v>9005</v>
      </c>
      <c r="D12" s="47" t="s">
        <v>54</v>
      </c>
      <c r="E12" s="48" t="s">
        <v>540</v>
      </c>
      <c r="F12" s="53">
        <v>511.9</v>
      </c>
      <c r="G12" s="53">
        <v>0</v>
      </c>
      <c r="H12" s="53">
        <v>0</v>
      </c>
      <c r="I12" s="53">
        <v>0</v>
      </c>
      <c r="J12" s="53">
        <v>0</v>
      </c>
      <c r="K12" s="53">
        <v>0</v>
      </c>
      <c r="L12" s="53">
        <v>0</v>
      </c>
      <c r="M12" s="43"/>
      <c r="N12" s="53">
        <v>0</v>
      </c>
      <c r="O12" s="53">
        <v>0</v>
      </c>
      <c r="P12" s="53">
        <v>0</v>
      </c>
      <c r="Q12" s="53">
        <v>511.9</v>
      </c>
    </row>
    <row r="13" spans="1:17" ht="26.45">
      <c r="A13" s="44">
        <v>2024</v>
      </c>
      <c r="B13" s="46" t="s">
        <v>1411</v>
      </c>
      <c r="C13" s="46" t="s">
        <v>9005</v>
      </c>
      <c r="D13" s="44" t="s">
        <v>55</v>
      </c>
      <c r="E13" s="45" t="s">
        <v>541</v>
      </c>
      <c r="F13" s="54">
        <v>1768.93</v>
      </c>
      <c r="G13" s="54">
        <v>0</v>
      </c>
      <c r="H13" s="54">
        <v>0</v>
      </c>
      <c r="I13" s="54">
        <v>0</v>
      </c>
      <c r="J13" s="54">
        <v>0</v>
      </c>
      <c r="K13" s="54">
        <v>0</v>
      </c>
      <c r="L13" s="54">
        <v>0</v>
      </c>
      <c r="M13" s="43"/>
      <c r="N13" s="54">
        <v>0</v>
      </c>
      <c r="O13" s="54">
        <v>0</v>
      </c>
      <c r="P13" s="54">
        <v>0</v>
      </c>
      <c r="Q13" s="54">
        <v>1768.93</v>
      </c>
    </row>
    <row r="14" spans="1:17" ht="26.45">
      <c r="A14" s="44">
        <v>2024</v>
      </c>
      <c r="B14" s="46" t="s">
        <v>1411</v>
      </c>
      <c r="C14" s="46" t="s">
        <v>9005</v>
      </c>
      <c r="D14" s="44" t="s">
        <v>56</v>
      </c>
      <c r="E14" s="45" t="s">
        <v>544</v>
      </c>
      <c r="F14" s="54">
        <v>429.51</v>
      </c>
      <c r="G14" s="54">
        <v>0</v>
      </c>
      <c r="H14" s="54">
        <v>0</v>
      </c>
      <c r="I14" s="54">
        <v>0</v>
      </c>
      <c r="J14" s="54">
        <v>0</v>
      </c>
      <c r="K14" s="54">
        <v>0</v>
      </c>
      <c r="L14" s="54">
        <v>0</v>
      </c>
      <c r="M14" s="43"/>
      <c r="N14" s="54">
        <v>0</v>
      </c>
      <c r="O14" s="54">
        <v>0</v>
      </c>
      <c r="P14" s="54">
        <v>0</v>
      </c>
      <c r="Q14" s="54">
        <v>429.51</v>
      </c>
    </row>
    <row r="15" spans="1:17" ht="26.45">
      <c r="A15" s="47">
        <v>2024</v>
      </c>
      <c r="B15" s="50" t="s">
        <v>1411</v>
      </c>
      <c r="C15" s="50" t="s">
        <v>9005</v>
      </c>
      <c r="D15" s="47" t="s">
        <v>57</v>
      </c>
      <c r="E15" s="48" t="s">
        <v>549</v>
      </c>
      <c r="F15" s="53">
        <v>1702.85</v>
      </c>
      <c r="G15" s="53">
        <v>0</v>
      </c>
      <c r="H15" s="53">
        <v>0</v>
      </c>
      <c r="I15" s="53">
        <v>0</v>
      </c>
      <c r="J15" s="53">
        <v>0</v>
      </c>
      <c r="K15" s="53">
        <v>0</v>
      </c>
      <c r="L15" s="53">
        <v>0</v>
      </c>
      <c r="M15" s="43"/>
      <c r="N15" s="53">
        <v>0</v>
      </c>
      <c r="O15" s="53">
        <v>0</v>
      </c>
      <c r="P15" s="53">
        <v>0</v>
      </c>
      <c r="Q15" s="53">
        <v>1702.85</v>
      </c>
    </row>
    <row r="16" spans="1:17" ht="39.6">
      <c r="A16" s="44">
        <v>2024</v>
      </c>
      <c r="B16" s="46" t="s">
        <v>1411</v>
      </c>
      <c r="C16" s="46" t="s">
        <v>9005</v>
      </c>
      <c r="D16" s="44" t="s">
        <v>58</v>
      </c>
      <c r="E16" s="45" t="s">
        <v>550</v>
      </c>
      <c r="F16" s="54">
        <v>1507.25</v>
      </c>
      <c r="G16" s="54">
        <v>0</v>
      </c>
      <c r="H16" s="54">
        <v>0</v>
      </c>
      <c r="I16" s="54">
        <v>0</v>
      </c>
      <c r="J16" s="54">
        <v>0</v>
      </c>
      <c r="K16" s="54">
        <v>0</v>
      </c>
      <c r="L16" s="54">
        <v>-1507.25</v>
      </c>
      <c r="M16" s="43"/>
      <c r="N16" s="54">
        <v>0</v>
      </c>
      <c r="O16" s="54">
        <v>0</v>
      </c>
      <c r="P16" s="54">
        <v>0</v>
      </c>
      <c r="Q16" s="54">
        <v>0</v>
      </c>
    </row>
    <row r="17" spans="1:17" ht="26.45">
      <c r="A17" s="44">
        <v>2024</v>
      </c>
      <c r="B17" s="46" t="s">
        <v>1411</v>
      </c>
      <c r="C17" s="46" t="s">
        <v>9005</v>
      </c>
      <c r="D17" s="44" t="s">
        <v>59</v>
      </c>
      <c r="E17" s="45" t="s">
        <v>553</v>
      </c>
      <c r="F17" s="54">
        <v>61804.71</v>
      </c>
      <c r="G17" s="54">
        <v>41399.120000000003</v>
      </c>
      <c r="H17" s="54">
        <v>0</v>
      </c>
      <c r="I17" s="54">
        <v>0</v>
      </c>
      <c r="J17" s="54">
        <v>0</v>
      </c>
      <c r="K17" s="54">
        <v>0</v>
      </c>
      <c r="L17" s="54">
        <v>0</v>
      </c>
      <c r="M17" s="43"/>
      <c r="N17" s="54">
        <v>0</v>
      </c>
      <c r="O17" s="54">
        <v>0</v>
      </c>
      <c r="P17" s="54">
        <v>0</v>
      </c>
      <c r="Q17" s="54">
        <v>103203.83</v>
      </c>
    </row>
    <row r="18" spans="1:17" ht="26.45">
      <c r="A18" s="47">
        <v>2024</v>
      </c>
      <c r="B18" s="50" t="s">
        <v>1411</v>
      </c>
      <c r="C18" s="50" t="s">
        <v>9005</v>
      </c>
      <c r="D18" s="47" t="s">
        <v>60</v>
      </c>
      <c r="E18" s="48" t="s">
        <v>554</v>
      </c>
      <c r="F18" s="53">
        <v>496.27</v>
      </c>
      <c r="G18" s="53">
        <v>0</v>
      </c>
      <c r="H18" s="53">
        <v>0</v>
      </c>
      <c r="I18" s="53">
        <v>0</v>
      </c>
      <c r="J18" s="53">
        <v>0</v>
      </c>
      <c r="K18" s="53">
        <v>0</v>
      </c>
      <c r="L18" s="53">
        <v>-496.27</v>
      </c>
      <c r="M18" s="43"/>
      <c r="N18" s="53">
        <v>0</v>
      </c>
      <c r="O18" s="53">
        <v>0</v>
      </c>
      <c r="P18" s="53">
        <v>0</v>
      </c>
      <c r="Q18" s="53">
        <v>0</v>
      </c>
    </row>
    <row r="19" spans="1:17" ht="26.45">
      <c r="A19" s="44">
        <v>2024</v>
      </c>
      <c r="B19" s="46" t="s">
        <v>1411</v>
      </c>
      <c r="C19" s="46" t="s">
        <v>9005</v>
      </c>
      <c r="D19" s="44" t="s">
        <v>61</v>
      </c>
      <c r="E19" s="45" t="s">
        <v>555</v>
      </c>
      <c r="F19" s="54">
        <v>3567.55</v>
      </c>
      <c r="G19" s="54">
        <v>0</v>
      </c>
      <c r="H19" s="54">
        <v>0</v>
      </c>
      <c r="I19" s="54">
        <v>0</v>
      </c>
      <c r="J19" s="54">
        <v>0</v>
      </c>
      <c r="K19" s="54">
        <v>0</v>
      </c>
      <c r="L19" s="54">
        <v>0</v>
      </c>
      <c r="M19" s="43"/>
      <c r="N19" s="54">
        <v>0</v>
      </c>
      <c r="O19" s="54">
        <v>0</v>
      </c>
      <c r="P19" s="54">
        <v>0</v>
      </c>
      <c r="Q19" s="54">
        <v>3567.55</v>
      </c>
    </row>
    <row r="20" spans="1:17" ht="26.45">
      <c r="A20" s="44">
        <v>2024</v>
      </c>
      <c r="B20" s="46" t="s">
        <v>1411</v>
      </c>
      <c r="C20" s="46" t="s">
        <v>9005</v>
      </c>
      <c r="D20" s="44" t="s">
        <v>62</v>
      </c>
      <c r="E20" s="45" t="s">
        <v>578</v>
      </c>
      <c r="F20" s="54">
        <v>13354.69</v>
      </c>
      <c r="G20" s="54">
        <v>9272.82</v>
      </c>
      <c r="H20" s="54">
        <v>0</v>
      </c>
      <c r="I20" s="54">
        <v>0</v>
      </c>
      <c r="J20" s="54">
        <v>0</v>
      </c>
      <c r="K20" s="54">
        <v>0</v>
      </c>
      <c r="L20" s="54">
        <v>0</v>
      </c>
      <c r="M20" s="43"/>
      <c r="N20" s="54">
        <v>0</v>
      </c>
      <c r="O20" s="54">
        <v>0</v>
      </c>
      <c r="P20" s="54">
        <v>0</v>
      </c>
      <c r="Q20" s="54">
        <v>22627.51</v>
      </c>
    </row>
    <row r="21" spans="1:17" ht="26.45">
      <c r="A21" s="47">
        <v>2024</v>
      </c>
      <c r="B21" s="50" t="s">
        <v>1411</v>
      </c>
      <c r="C21" s="50" t="s">
        <v>9005</v>
      </c>
      <c r="D21" s="47" t="s">
        <v>63</v>
      </c>
      <c r="E21" s="48" t="s">
        <v>579</v>
      </c>
      <c r="F21" s="53">
        <v>74155.61</v>
      </c>
      <c r="G21" s="53">
        <v>0</v>
      </c>
      <c r="H21" s="53">
        <v>0</v>
      </c>
      <c r="I21" s="53">
        <v>0</v>
      </c>
      <c r="J21" s="53">
        <v>0</v>
      </c>
      <c r="K21" s="53">
        <v>0</v>
      </c>
      <c r="L21" s="53">
        <v>0</v>
      </c>
      <c r="M21" s="43"/>
      <c r="N21" s="53">
        <v>0</v>
      </c>
      <c r="O21" s="53">
        <v>0</v>
      </c>
      <c r="P21" s="53">
        <v>0</v>
      </c>
      <c r="Q21" s="53">
        <v>74155.61</v>
      </c>
    </row>
    <row r="22" spans="1:17" ht="26.45">
      <c r="A22" s="47">
        <v>2024</v>
      </c>
      <c r="B22" s="50" t="s">
        <v>1411</v>
      </c>
      <c r="C22" s="50" t="s">
        <v>9005</v>
      </c>
      <c r="D22" s="47" t="s">
        <v>64</v>
      </c>
      <c r="E22" s="48" t="s">
        <v>582</v>
      </c>
      <c r="F22" s="53">
        <v>636.47</v>
      </c>
      <c r="G22" s="53">
        <v>0</v>
      </c>
      <c r="H22" s="53">
        <v>0</v>
      </c>
      <c r="I22" s="53">
        <v>0</v>
      </c>
      <c r="J22" s="53">
        <v>0</v>
      </c>
      <c r="K22" s="53">
        <v>0</v>
      </c>
      <c r="L22" s="53">
        <v>-636.47</v>
      </c>
      <c r="M22" s="43"/>
      <c r="N22" s="53">
        <v>0</v>
      </c>
      <c r="O22" s="53">
        <v>0</v>
      </c>
      <c r="P22" s="53">
        <v>0</v>
      </c>
      <c r="Q22" s="53">
        <v>0</v>
      </c>
    </row>
    <row r="23" spans="1:17" ht="26.45">
      <c r="A23" s="47">
        <v>2024</v>
      </c>
      <c r="B23" s="50" t="s">
        <v>1411</v>
      </c>
      <c r="C23" s="50" t="s">
        <v>9005</v>
      </c>
      <c r="D23" s="47" t="s">
        <v>65</v>
      </c>
      <c r="E23" s="48" t="s">
        <v>585</v>
      </c>
      <c r="F23" s="53">
        <v>694.94</v>
      </c>
      <c r="G23" s="53">
        <v>0</v>
      </c>
      <c r="H23" s="53">
        <v>0</v>
      </c>
      <c r="I23" s="53">
        <v>0</v>
      </c>
      <c r="J23" s="53">
        <v>0</v>
      </c>
      <c r="K23" s="53">
        <v>0</v>
      </c>
      <c r="L23" s="53">
        <v>-694.94</v>
      </c>
      <c r="M23" s="43"/>
      <c r="N23" s="53">
        <v>0</v>
      </c>
      <c r="O23" s="53">
        <v>0</v>
      </c>
      <c r="P23" s="53">
        <v>0</v>
      </c>
      <c r="Q23" s="53">
        <v>0</v>
      </c>
    </row>
    <row r="24" spans="1:17" ht="26.45">
      <c r="A24" s="44">
        <v>2024</v>
      </c>
      <c r="B24" s="46" t="s">
        <v>1411</v>
      </c>
      <c r="C24" s="46" t="s">
        <v>9005</v>
      </c>
      <c r="D24" s="44" t="s">
        <v>66</v>
      </c>
      <c r="E24" s="45" t="s">
        <v>586</v>
      </c>
      <c r="F24" s="54">
        <v>26651.57</v>
      </c>
      <c r="G24" s="54">
        <v>0</v>
      </c>
      <c r="H24" s="54">
        <v>0</v>
      </c>
      <c r="I24" s="54">
        <v>0</v>
      </c>
      <c r="J24" s="54">
        <v>0</v>
      </c>
      <c r="K24" s="54">
        <v>0</v>
      </c>
      <c r="L24" s="54">
        <v>0</v>
      </c>
      <c r="M24" s="43"/>
      <c r="N24" s="54">
        <v>0</v>
      </c>
      <c r="O24" s="54">
        <v>0</v>
      </c>
      <c r="P24" s="54">
        <v>0</v>
      </c>
      <c r="Q24" s="54">
        <v>26651.57</v>
      </c>
    </row>
    <row r="25" spans="1:17" ht="26.45">
      <c r="A25" s="47">
        <v>2024</v>
      </c>
      <c r="B25" s="50" t="s">
        <v>1411</v>
      </c>
      <c r="C25" s="50" t="s">
        <v>9005</v>
      </c>
      <c r="D25" s="47" t="s">
        <v>67</v>
      </c>
      <c r="E25" s="48" t="s">
        <v>587</v>
      </c>
      <c r="F25" s="53">
        <v>416.31</v>
      </c>
      <c r="G25" s="53">
        <v>0</v>
      </c>
      <c r="H25" s="53">
        <v>0</v>
      </c>
      <c r="I25" s="53">
        <v>0</v>
      </c>
      <c r="J25" s="53">
        <v>0</v>
      </c>
      <c r="K25" s="53">
        <v>0</v>
      </c>
      <c r="L25" s="53">
        <v>-416.31</v>
      </c>
      <c r="M25" s="43"/>
      <c r="N25" s="53">
        <v>0</v>
      </c>
      <c r="O25" s="53">
        <v>0</v>
      </c>
      <c r="P25" s="53">
        <v>0</v>
      </c>
      <c r="Q25" s="53">
        <v>0</v>
      </c>
    </row>
    <row r="26" spans="1:17" ht="26.45">
      <c r="A26" s="44">
        <v>2024</v>
      </c>
      <c r="B26" s="46" t="s">
        <v>1411</v>
      </c>
      <c r="C26" s="46" t="s">
        <v>9005</v>
      </c>
      <c r="D26" s="44" t="s">
        <v>68</v>
      </c>
      <c r="E26" s="45" t="s">
        <v>588</v>
      </c>
      <c r="F26" s="54">
        <v>424.28</v>
      </c>
      <c r="G26" s="54">
        <v>413.3</v>
      </c>
      <c r="H26" s="54">
        <v>0</v>
      </c>
      <c r="I26" s="54">
        <v>0</v>
      </c>
      <c r="J26" s="54">
        <v>0</v>
      </c>
      <c r="K26" s="54">
        <v>0</v>
      </c>
      <c r="L26" s="54">
        <v>0</v>
      </c>
      <c r="M26" s="43"/>
      <c r="N26" s="54">
        <v>0</v>
      </c>
      <c r="O26" s="54">
        <v>0</v>
      </c>
      <c r="P26" s="54">
        <v>0</v>
      </c>
      <c r="Q26" s="54">
        <v>837.58</v>
      </c>
    </row>
    <row r="27" spans="1:17" ht="26.45">
      <c r="A27" s="47">
        <v>2024</v>
      </c>
      <c r="B27" s="50" t="s">
        <v>1411</v>
      </c>
      <c r="C27" s="50" t="s">
        <v>9005</v>
      </c>
      <c r="D27" s="47" t="s">
        <v>69</v>
      </c>
      <c r="E27" s="48" t="s">
        <v>589</v>
      </c>
      <c r="F27" s="53">
        <v>446.93</v>
      </c>
      <c r="G27" s="53">
        <v>0</v>
      </c>
      <c r="H27" s="53">
        <v>0</v>
      </c>
      <c r="I27" s="53">
        <v>0</v>
      </c>
      <c r="J27" s="53">
        <v>0</v>
      </c>
      <c r="K27" s="53">
        <v>0</v>
      </c>
      <c r="L27" s="53">
        <v>-446.93</v>
      </c>
      <c r="M27" s="43"/>
      <c r="N27" s="53">
        <v>0</v>
      </c>
      <c r="O27" s="53">
        <v>0</v>
      </c>
      <c r="P27" s="53">
        <v>0</v>
      </c>
      <c r="Q27" s="53">
        <v>0</v>
      </c>
    </row>
    <row r="28" spans="1:17" ht="26.45">
      <c r="A28" s="44">
        <v>2024</v>
      </c>
      <c r="B28" s="46" t="s">
        <v>1411</v>
      </c>
      <c r="C28" s="46" t="s">
        <v>9005</v>
      </c>
      <c r="D28" s="44" t="s">
        <v>70</v>
      </c>
      <c r="E28" s="45" t="s">
        <v>590</v>
      </c>
      <c r="F28" s="54">
        <v>430.69</v>
      </c>
      <c r="G28" s="54">
        <v>121.15</v>
      </c>
      <c r="H28" s="54">
        <v>0</v>
      </c>
      <c r="I28" s="54">
        <v>0</v>
      </c>
      <c r="J28" s="54">
        <v>0</v>
      </c>
      <c r="K28" s="54">
        <v>0</v>
      </c>
      <c r="L28" s="54">
        <v>-551.84</v>
      </c>
      <c r="M28" s="43"/>
      <c r="N28" s="54">
        <v>0</v>
      </c>
      <c r="O28" s="54">
        <v>0</v>
      </c>
      <c r="P28" s="54">
        <v>0</v>
      </c>
      <c r="Q28" s="54">
        <v>0</v>
      </c>
    </row>
    <row r="29" spans="1:17" ht="26.45">
      <c r="A29" s="47">
        <v>2024</v>
      </c>
      <c r="B29" s="50" t="s">
        <v>1411</v>
      </c>
      <c r="C29" s="50" t="s">
        <v>9005</v>
      </c>
      <c r="D29" s="47" t="s">
        <v>71</v>
      </c>
      <c r="E29" s="48" t="s">
        <v>591</v>
      </c>
      <c r="F29" s="53">
        <v>520.37</v>
      </c>
      <c r="G29" s="53">
        <v>704.97</v>
      </c>
      <c r="H29" s="53">
        <v>0</v>
      </c>
      <c r="I29" s="53">
        <v>0</v>
      </c>
      <c r="J29" s="53">
        <v>0</v>
      </c>
      <c r="K29" s="53">
        <v>0</v>
      </c>
      <c r="L29" s="53">
        <v>-1225.3399999999999</v>
      </c>
      <c r="M29" s="43"/>
      <c r="N29" s="53">
        <v>0</v>
      </c>
      <c r="O29" s="53">
        <v>0</v>
      </c>
      <c r="P29" s="53">
        <v>0</v>
      </c>
      <c r="Q29" s="53">
        <v>0</v>
      </c>
    </row>
    <row r="30" spans="1:17" ht="26.45">
      <c r="A30" s="44">
        <v>2024</v>
      </c>
      <c r="B30" s="46" t="s">
        <v>1411</v>
      </c>
      <c r="C30" s="46" t="s">
        <v>9005</v>
      </c>
      <c r="D30" s="44" t="s">
        <v>72</v>
      </c>
      <c r="E30" s="45" t="s">
        <v>592</v>
      </c>
      <c r="F30" s="54">
        <v>1272.03</v>
      </c>
      <c r="G30" s="54">
        <v>3058.59</v>
      </c>
      <c r="H30" s="54">
        <v>0</v>
      </c>
      <c r="I30" s="54">
        <v>0</v>
      </c>
      <c r="J30" s="54">
        <v>0</v>
      </c>
      <c r="K30" s="54">
        <v>0</v>
      </c>
      <c r="L30" s="54">
        <v>-3229.64</v>
      </c>
      <c r="M30" s="43"/>
      <c r="N30" s="54">
        <v>0</v>
      </c>
      <c r="O30" s="54">
        <v>-1100.98</v>
      </c>
      <c r="P30" s="54">
        <v>0</v>
      </c>
      <c r="Q30" s="54">
        <v>0</v>
      </c>
    </row>
    <row r="31" spans="1:17" ht="26.45">
      <c r="A31" s="47">
        <v>2024</v>
      </c>
      <c r="B31" s="50" t="s">
        <v>1411</v>
      </c>
      <c r="C31" s="50" t="s">
        <v>9005</v>
      </c>
      <c r="D31" s="47" t="s">
        <v>73</v>
      </c>
      <c r="E31" s="48" t="s">
        <v>593</v>
      </c>
      <c r="F31" s="53">
        <v>731.13</v>
      </c>
      <c r="G31" s="53">
        <v>963.19</v>
      </c>
      <c r="H31" s="53">
        <v>0</v>
      </c>
      <c r="I31" s="53">
        <v>0</v>
      </c>
      <c r="J31" s="53">
        <v>0</v>
      </c>
      <c r="K31" s="53">
        <v>0</v>
      </c>
      <c r="L31" s="53">
        <v>-1694.32</v>
      </c>
      <c r="M31" s="43"/>
      <c r="N31" s="53">
        <v>0</v>
      </c>
      <c r="O31" s="53">
        <v>0</v>
      </c>
      <c r="P31" s="53">
        <v>0</v>
      </c>
      <c r="Q31" s="53">
        <v>0</v>
      </c>
    </row>
    <row r="32" spans="1:17" ht="39.6">
      <c r="A32" s="44">
        <v>2024</v>
      </c>
      <c r="B32" s="46" t="s">
        <v>1411</v>
      </c>
      <c r="C32" s="46" t="s">
        <v>9005</v>
      </c>
      <c r="D32" s="44" t="s">
        <v>74</v>
      </c>
      <c r="E32" s="45" t="s">
        <v>594</v>
      </c>
      <c r="F32" s="54">
        <v>869.38</v>
      </c>
      <c r="G32" s="54">
        <v>1275.4100000000001</v>
      </c>
      <c r="H32" s="54">
        <v>0</v>
      </c>
      <c r="I32" s="54">
        <v>0</v>
      </c>
      <c r="J32" s="54">
        <v>0</v>
      </c>
      <c r="K32" s="54">
        <v>0</v>
      </c>
      <c r="L32" s="54">
        <v>-2144.79</v>
      </c>
      <c r="M32" s="43"/>
      <c r="N32" s="54">
        <v>0</v>
      </c>
      <c r="O32" s="54">
        <v>0</v>
      </c>
      <c r="P32" s="54">
        <v>0</v>
      </c>
      <c r="Q32" s="54">
        <v>0</v>
      </c>
    </row>
    <row r="33" spans="1:17" ht="26.45">
      <c r="A33" s="47">
        <v>2024</v>
      </c>
      <c r="B33" s="50" t="s">
        <v>1411</v>
      </c>
      <c r="C33" s="50" t="s">
        <v>9005</v>
      </c>
      <c r="D33" s="47" t="s">
        <v>75</v>
      </c>
      <c r="E33" s="48" t="s">
        <v>595</v>
      </c>
      <c r="F33" s="53">
        <v>746.95</v>
      </c>
      <c r="G33" s="53">
        <v>1052.4100000000001</v>
      </c>
      <c r="H33" s="53">
        <v>0</v>
      </c>
      <c r="I33" s="53">
        <v>0</v>
      </c>
      <c r="J33" s="53">
        <v>0</v>
      </c>
      <c r="K33" s="53">
        <v>0</v>
      </c>
      <c r="L33" s="53">
        <v>-1799.36</v>
      </c>
      <c r="M33" s="43"/>
      <c r="N33" s="53">
        <v>0</v>
      </c>
      <c r="O33" s="53">
        <v>0</v>
      </c>
      <c r="P33" s="53">
        <v>0</v>
      </c>
      <c r="Q33" s="53">
        <v>0</v>
      </c>
    </row>
    <row r="34" spans="1:17" ht="26.45">
      <c r="A34" s="44">
        <v>2024</v>
      </c>
      <c r="B34" s="46" t="s">
        <v>1411</v>
      </c>
      <c r="C34" s="46" t="s">
        <v>9005</v>
      </c>
      <c r="D34" s="44" t="s">
        <v>76</v>
      </c>
      <c r="E34" s="45" t="s">
        <v>596</v>
      </c>
      <c r="F34" s="54">
        <v>109.53</v>
      </c>
      <c r="G34" s="54">
        <v>1534.41</v>
      </c>
      <c r="H34" s="54">
        <v>0</v>
      </c>
      <c r="I34" s="54">
        <v>0</v>
      </c>
      <c r="J34" s="54">
        <v>0</v>
      </c>
      <c r="K34" s="54">
        <v>0</v>
      </c>
      <c r="L34" s="54">
        <v>-1643.94</v>
      </c>
      <c r="M34" s="43"/>
      <c r="N34" s="54">
        <v>0</v>
      </c>
      <c r="O34" s="54">
        <v>0</v>
      </c>
      <c r="P34" s="54">
        <v>0</v>
      </c>
      <c r="Q34" s="54">
        <v>0</v>
      </c>
    </row>
    <row r="35" spans="1:17" ht="26.45">
      <c r="A35" s="47">
        <v>2024</v>
      </c>
      <c r="B35" s="50" t="s">
        <v>1411</v>
      </c>
      <c r="C35" s="50" t="s">
        <v>9005</v>
      </c>
      <c r="D35" s="47" t="s">
        <v>77</v>
      </c>
      <c r="E35" s="48" t="s">
        <v>596</v>
      </c>
      <c r="F35" s="53">
        <v>528.94000000000005</v>
      </c>
      <c r="G35" s="53">
        <v>0</v>
      </c>
      <c r="H35" s="53">
        <v>0</v>
      </c>
      <c r="I35" s="53">
        <v>0</v>
      </c>
      <c r="J35" s="53">
        <v>0</v>
      </c>
      <c r="K35" s="53">
        <v>0</v>
      </c>
      <c r="L35" s="53">
        <v>-528.94000000000005</v>
      </c>
      <c r="M35" s="43"/>
      <c r="N35" s="53">
        <v>0</v>
      </c>
      <c r="O35" s="53">
        <v>0</v>
      </c>
      <c r="P35" s="53">
        <v>0</v>
      </c>
      <c r="Q35" s="53">
        <v>0</v>
      </c>
    </row>
    <row r="36" spans="1:17" ht="26.45">
      <c r="A36" s="44">
        <v>2024</v>
      </c>
      <c r="B36" s="46" t="s">
        <v>1411</v>
      </c>
      <c r="C36" s="46" t="s">
        <v>9005</v>
      </c>
      <c r="D36" s="44" t="s">
        <v>78</v>
      </c>
      <c r="E36" s="45" t="s">
        <v>597</v>
      </c>
      <c r="F36" s="54">
        <v>797.06</v>
      </c>
      <c r="G36" s="54">
        <v>1066.02</v>
      </c>
      <c r="H36" s="54">
        <v>0</v>
      </c>
      <c r="I36" s="54">
        <v>0</v>
      </c>
      <c r="J36" s="54">
        <v>0</v>
      </c>
      <c r="K36" s="54">
        <v>0</v>
      </c>
      <c r="L36" s="54">
        <v>-1863.08</v>
      </c>
      <c r="M36" s="43"/>
      <c r="N36" s="54">
        <v>0</v>
      </c>
      <c r="O36" s="54">
        <v>0</v>
      </c>
      <c r="P36" s="54">
        <v>0</v>
      </c>
      <c r="Q36" s="54">
        <v>0</v>
      </c>
    </row>
    <row r="37" spans="1:17" ht="26.45">
      <c r="A37" s="47">
        <v>2024</v>
      </c>
      <c r="B37" s="50" t="s">
        <v>1411</v>
      </c>
      <c r="C37" s="50" t="s">
        <v>9005</v>
      </c>
      <c r="D37" s="47" t="s">
        <v>79</v>
      </c>
      <c r="E37" s="48" t="s">
        <v>607</v>
      </c>
      <c r="F37" s="53">
        <v>4769.1000000000004</v>
      </c>
      <c r="G37" s="53">
        <v>0</v>
      </c>
      <c r="H37" s="53">
        <v>0</v>
      </c>
      <c r="I37" s="53">
        <v>0</v>
      </c>
      <c r="J37" s="53">
        <v>0</v>
      </c>
      <c r="K37" s="53">
        <v>0</v>
      </c>
      <c r="L37" s="53">
        <v>0</v>
      </c>
      <c r="M37" s="43"/>
      <c r="N37" s="53">
        <v>0</v>
      </c>
      <c r="O37" s="53">
        <v>0</v>
      </c>
      <c r="P37" s="53">
        <v>0</v>
      </c>
      <c r="Q37" s="53">
        <v>4769.1000000000004</v>
      </c>
    </row>
    <row r="38" spans="1:17" ht="26.45">
      <c r="A38" s="47">
        <v>2024</v>
      </c>
      <c r="B38" s="50" t="s">
        <v>1411</v>
      </c>
      <c r="C38" s="50" t="s">
        <v>9005</v>
      </c>
      <c r="D38" s="47" t="s">
        <v>80</v>
      </c>
      <c r="E38" s="48" t="s">
        <v>610</v>
      </c>
      <c r="F38" s="53">
        <v>283.5</v>
      </c>
      <c r="G38" s="53">
        <v>0</v>
      </c>
      <c r="H38" s="53">
        <v>0</v>
      </c>
      <c r="I38" s="53">
        <v>0</v>
      </c>
      <c r="J38" s="53">
        <v>0</v>
      </c>
      <c r="K38" s="53">
        <v>0</v>
      </c>
      <c r="L38" s="53">
        <v>0</v>
      </c>
      <c r="M38" s="43"/>
      <c r="N38" s="53">
        <v>0</v>
      </c>
      <c r="O38" s="53">
        <v>0</v>
      </c>
      <c r="P38" s="53">
        <v>0</v>
      </c>
      <c r="Q38" s="53">
        <v>283.5</v>
      </c>
    </row>
    <row r="39" spans="1:17" ht="39.6">
      <c r="A39" s="44">
        <v>2024</v>
      </c>
      <c r="B39" s="46" t="s">
        <v>1411</v>
      </c>
      <c r="C39" s="46" t="s">
        <v>9005</v>
      </c>
      <c r="D39" s="44" t="s">
        <v>81</v>
      </c>
      <c r="E39" s="45" t="s">
        <v>611</v>
      </c>
      <c r="F39" s="54">
        <v>2495.8000000000002</v>
      </c>
      <c r="G39" s="54">
        <v>0</v>
      </c>
      <c r="H39" s="54">
        <v>0</v>
      </c>
      <c r="I39" s="54">
        <v>0</v>
      </c>
      <c r="J39" s="54">
        <v>0</v>
      </c>
      <c r="K39" s="54">
        <v>0</v>
      </c>
      <c r="L39" s="54">
        <v>0</v>
      </c>
      <c r="M39" s="43"/>
      <c r="N39" s="54">
        <v>0</v>
      </c>
      <c r="O39" s="54">
        <v>0</v>
      </c>
      <c r="P39" s="54">
        <v>0</v>
      </c>
      <c r="Q39" s="54">
        <v>2495.8000000000002</v>
      </c>
    </row>
    <row r="40" spans="1:17" ht="39.6">
      <c r="A40" s="47">
        <v>2024</v>
      </c>
      <c r="B40" s="50" t="s">
        <v>1411</v>
      </c>
      <c r="C40" s="50" t="s">
        <v>9005</v>
      </c>
      <c r="D40" s="47" t="s">
        <v>82</v>
      </c>
      <c r="E40" s="48" t="s">
        <v>612</v>
      </c>
      <c r="F40" s="53">
        <v>2356.06</v>
      </c>
      <c r="G40" s="53">
        <v>0</v>
      </c>
      <c r="H40" s="53">
        <v>0</v>
      </c>
      <c r="I40" s="53">
        <v>0</v>
      </c>
      <c r="J40" s="53">
        <v>0</v>
      </c>
      <c r="K40" s="53">
        <v>0</v>
      </c>
      <c r="L40" s="53">
        <v>0</v>
      </c>
      <c r="M40" s="43"/>
      <c r="N40" s="53">
        <v>0</v>
      </c>
      <c r="O40" s="53">
        <v>0</v>
      </c>
      <c r="P40" s="53">
        <v>0</v>
      </c>
      <c r="Q40" s="53">
        <v>2356.06</v>
      </c>
    </row>
    <row r="41" spans="1:17" ht="26.45">
      <c r="A41" s="44">
        <v>2024</v>
      </c>
      <c r="B41" s="46" t="s">
        <v>1411</v>
      </c>
      <c r="C41" s="46" t="s">
        <v>9005</v>
      </c>
      <c r="D41" s="44" t="s">
        <v>83</v>
      </c>
      <c r="E41" s="45" t="s">
        <v>617</v>
      </c>
      <c r="F41" s="54">
        <v>516.48</v>
      </c>
      <c r="G41" s="54">
        <v>0</v>
      </c>
      <c r="H41" s="54">
        <v>0</v>
      </c>
      <c r="I41" s="54">
        <v>0</v>
      </c>
      <c r="J41" s="54">
        <v>0</v>
      </c>
      <c r="K41" s="54">
        <v>0</v>
      </c>
      <c r="L41" s="54">
        <v>-516.48</v>
      </c>
      <c r="M41" s="43"/>
      <c r="N41" s="54">
        <v>0</v>
      </c>
      <c r="O41" s="54">
        <v>0</v>
      </c>
      <c r="P41" s="54">
        <v>0</v>
      </c>
      <c r="Q41" s="54">
        <v>0</v>
      </c>
    </row>
    <row r="42" spans="1:17" ht="26.45">
      <c r="A42" s="44">
        <v>2024</v>
      </c>
      <c r="B42" s="46" t="s">
        <v>1411</v>
      </c>
      <c r="C42" s="46" t="s">
        <v>9005</v>
      </c>
      <c r="D42" s="44" t="s">
        <v>84</v>
      </c>
      <c r="E42" s="45" t="s">
        <v>620</v>
      </c>
      <c r="F42" s="54">
        <v>57.41</v>
      </c>
      <c r="G42" s="54">
        <v>0</v>
      </c>
      <c r="H42" s="54">
        <v>0</v>
      </c>
      <c r="I42" s="54">
        <v>0</v>
      </c>
      <c r="J42" s="54">
        <v>0</v>
      </c>
      <c r="K42" s="54">
        <v>0</v>
      </c>
      <c r="L42" s="54">
        <v>0</v>
      </c>
      <c r="M42" s="43"/>
      <c r="N42" s="54">
        <v>0</v>
      </c>
      <c r="O42" s="54">
        <v>0</v>
      </c>
      <c r="P42" s="54">
        <v>0</v>
      </c>
      <c r="Q42" s="54">
        <v>57.41</v>
      </c>
    </row>
    <row r="43" spans="1:17" ht="26.45">
      <c r="A43" s="47">
        <v>2024</v>
      </c>
      <c r="B43" s="50" t="s">
        <v>1411</v>
      </c>
      <c r="C43" s="50" t="s">
        <v>9005</v>
      </c>
      <c r="D43" s="47" t="s">
        <v>85</v>
      </c>
      <c r="E43" s="48" t="s">
        <v>621</v>
      </c>
      <c r="F43" s="53">
        <v>17.989999999999998</v>
      </c>
      <c r="G43" s="53">
        <v>0</v>
      </c>
      <c r="H43" s="53">
        <v>0</v>
      </c>
      <c r="I43" s="53">
        <v>0</v>
      </c>
      <c r="J43" s="53">
        <v>0</v>
      </c>
      <c r="K43" s="53">
        <v>0</v>
      </c>
      <c r="L43" s="53">
        <v>-17.989999999999998</v>
      </c>
      <c r="M43" s="43"/>
      <c r="N43" s="53">
        <v>0</v>
      </c>
      <c r="O43" s="53">
        <v>0</v>
      </c>
      <c r="P43" s="53">
        <v>0</v>
      </c>
      <c r="Q43" s="53">
        <v>0</v>
      </c>
    </row>
    <row r="44" spans="1:17" ht="26.45">
      <c r="A44" s="47">
        <v>2024</v>
      </c>
      <c r="B44" s="50" t="s">
        <v>1411</v>
      </c>
      <c r="C44" s="50" t="s">
        <v>9005</v>
      </c>
      <c r="D44" s="47" t="s">
        <v>86</v>
      </c>
      <c r="E44" s="48" t="s">
        <v>624</v>
      </c>
      <c r="F44" s="53">
        <v>17895.900000000001</v>
      </c>
      <c r="G44" s="53">
        <v>1260.55</v>
      </c>
      <c r="H44" s="53">
        <v>0</v>
      </c>
      <c r="I44" s="53">
        <v>0</v>
      </c>
      <c r="J44" s="53">
        <v>0</v>
      </c>
      <c r="K44" s="53">
        <v>0</v>
      </c>
      <c r="L44" s="53">
        <v>0</v>
      </c>
      <c r="M44" s="43"/>
      <c r="N44" s="53">
        <v>0</v>
      </c>
      <c r="O44" s="53">
        <v>0</v>
      </c>
      <c r="P44" s="53">
        <v>0</v>
      </c>
      <c r="Q44" s="53">
        <v>19156.45</v>
      </c>
    </row>
    <row r="45" spans="1:17" ht="26.45">
      <c r="A45" s="44">
        <v>2024</v>
      </c>
      <c r="B45" s="46" t="s">
        <v>1411</v>
      </c>
      <c r="C45" s="46" t="s">
        <v>9005</v>
      </c>
      <c r="D45" s="44" t="s">
        <v>87</v>
      </c>
      <c r="E45" s="45" t="s">
        <v>625</v>
      </c>
      <c r="F45" s="54">
        <v>497.49</v>
      </c>
      <c r="G45" s="54">
        <v>0</v>
      </c>
      <c r="H45" s="54">
        <v>0</v>
      </c>
      <c r="I45" s="54">
        <v>0</v>
      </c>
      <c r="J45" s="54">
        <v>0</v>
      </c>
      <c r="K45" s="54">
        <v>0</v>
      </c>
      <c r="L45" s="54">
        <v>-497.49</v>
      </c>
      <c r="M45" s="43"/>
      <c r="N45" s="54">
        <v>0</v>
      </c>
      <c r="O45" s="54">
        <v>0</v>
      </c>
      <c r="P45" s="54">
        <v>0</v>
      </c>
      <c r="Q45" s="54">
        <v>0</v>
      </c>
    </row>
    <row r="46" spans="1:17" ht="26.45">
      <c r="A46" s="47">
        <v>2024</v>
      </c>
      <c r="B46" s="50" t="s">
        <v>1411</v>
      </c>
      <c r="C46" s="50" t="s">
        <v>9005</v>
      </c>
      <c r="D46" s="47" t="s">
        <v>88</v>
      </c>
      <c r="E46" s="48" t="s">
        <v>626</v>
      </c>
      <c r="F46" s="53">
        <v>327.45</v>
      </c>
      <c r="G46" s="53">
        <v>0</v>
      </c>
      <c r="H46" s="53">
        <v>0</v>
      </c>
      <c r="I46" s="53">
        <v>0</v>
      </c>
      <c r="J46" s="53">
        <v>0</v>
      </c>
      <c r="K46" s="53">
        <v>0</v>
      </c>
      <c r="L46" s="53">
        <v>0</v>
      </c>
      <c r="M46" s="43"/>
      <c r="N46" s="53">
        <v>0</v>
      </c>
      <c r="O46" s="53">
        <v>0</v>
      </c>
      <c r="P46" s="53">
        <v>0</v>
      </c>
      <c r="Q46" s="53">
        <v>327.45</v>
      </c>
    </row>
    <row r="47" spans="1:17" ht="26.45">
      <c r="A47" s="44">
        <v>2024</v>
      </c>
      <c r="B47" s="46" t="s">
        <v>1411</v>
      </c>
      <c r="C47" s="46" t="s">
        <v>9005</v>
      </c>
      <c r="D47" s="44" t="s">
        <v>89</v>
      </c>
      <c r="E47" s="45" t="s">
        <v>627</v>
      </c>
      <c r="F47" s="54">
        <v>794.58</v>
      </c>
      <c r="G47" s="54">
        <v>0</v>
      </c>
      <c r="H47" s="54">
        <v>0</v>
      </c>
      <c r="I47" s="54">
        <v>0</v>
      </c>
      <c r="J47" s="54">
        <v>0</v>
      </c>
      <c r="K47" s="54">
        <v>0</v>
      </c>
      <c r="L47" s="54">
        <v>0</v>
      </c>
      <c r="M47" s="43"/>
      <c r="N47" s="54">
        <v>0</v>
      </c>
      <c r="O47" s="54">
        <v>0</v>
      </c>
      <c r="P47" s="54">
        <v>0</v>
      </c>
      <c r="Q47" s="54">
        <v>794.58</v>
      </c>
    </row>
    <row r="48" spans="1:17" ht="26.45">
      <c r="A48" s="47">
        <v>2024</v>
      </c>
      <c r="B48" s="50" t="s">
        <v>1411</v>
      </c>
      <c r="C48" s="50" t="s">
        <v>9005</v>
      </c>
      <c r="D48" s="47" t="s">
        <v>90</v>
      </c>
      <c r="E48" s="48" t="s">
        <v>632</v>
      </c>
      <c r="F48" s="53">
        <v>472.82</v>
      </c>
      <c r="G48" s="53">
        <v>0</v>
      </c>
      <c r="H48" s="53">
        <v>0</v>
      </c>
      <c r="I48" s="53">
        <v>0</v>
      </c>
      <c r="J48" s="53">
        <v>0</v>
      </c>
      <c r="K48" s="53">
        <v>0</v>
      </c>
      <c r="L48" s="53">
        <v>0</v>
      </c>
      <c r="M48" s="43"/>
      <c r="N48" s="53">
        <v>0</v>
      </c>
      <c r="O48" s="53">
        <v>0</v>
      </c>
      <c r="P48" s="53">
        <v>0</v>
      </c>
      <c r="Q48" s="53">
        <v>472.82</v>
      </c>
    </row>
    <row r="49" spans="1:17" ht="26.45">
      <c r="A49" s="44">
        <v>2024</v>
      </c>
      <c r="B49" s="46" t="s">
        <v>1411</v>
      </c>
      <c r="C49" s="46" t="s">
        <v>9005</v>
      </c>
      <c r="D49" s="44" t="s">
        <v>91</v>
      </c>
      <c r="E49" s="45" t="s">
        <v>632</v>
      </c>
      <c r="F49" s="54">
        <v>735.82</v>
      </c>
      <c r="G49" s="54">
        <v>0</v>
      </c>
      <c r="H49" s="54">
        <v>0</v>
      </c>
      <c r="I49" s="54">
        <v>0</v>
      </c>
      <c r="J49" s="54">
        <v>0</v>
      </c>
      <c r="K49" s="54">
        <v>0</v>
      </c>
      <c r="L49" s="54">
        <v>0</v>
      </c>
      <c r="M49" s="43"/>
      <c r="N49" s="54">
        <v>0</v>
      </c>
      <c r="O49" s="54">
        <v>0</v>
      </c>
      <c r="P49" s="54">
        <v>0</v>
      </c>
      <c r="Q49" s="54">
        <v>735.82</v>
      </c>
    </row>
    <row r="50" spans="1:17" ht="26.45">
      <c r="A50" s="44">
        <v>2024</v>
      </c>
      <c r="B50" s="46" t="s">
        <v>1411</v>
      </c>
      <c r="C50" s="46" t="s">
        <v>9005</v>
      </c>
      <c r="D50" s="44" t="s">
        <v>92</v>
      </c>
      <c r="E50" s="45" t="s">
        <v>632</v>
      </c>
      <c r="F50" s="54">
        <v>697.39</v>
      </c>
      <c r="G50" s="54">
        <v>0</v>
      </c>
      <c r="H50" s="54">
        <v>0</v>
      </c>
      <c r="I50" s="54">
        <v>0</v>
      </c>
      <c r="J50" s="54">
        <v>0</v>
      </c>
      <c r="K50" s="54">
        <v>0</v>
      </c>
      <c r="L50" s="54">
        <v>0</v>
      </c>
      <c r="M50" s="43"/>
      <c r="N50" s="54">
        <v>0</v>
      </c>
      <c r="O50" s="54">
        <v>0</v>
      </c>
      <c r="P50" s="54">
        <v>0</v>
      </c>
      <c r="Q50" s="54">
        <v>697.39</v>
      </c>
    </row>
    <row r="51" spans="1:17" ht="26.45">
      <c r="A51" s="47">
        <v>2024</v>
      </c>
      <c r="B51" s="50" t="s">
        <v>1411</v>
      </c>
      <c r="C51" s="50" t="s">
        <v>9005</v>
      </c>
      <c r="D51" s="47" t="s">
        <v>93</v>
      </c>
      <c r="E51" s="48" t="s">
        <v>630</v>
      </c>
      <c r="F51" s="53">
        <v>3452.85</v>
      </c>
      <c r="G51" s="53">
        <v>0</v>
      </c>
      <c r="H51" s="53">
        <v>0</v>
      </c>
      <c r="I51" s="53">
        <v>0</v>
      </c>
      <c r="J51" s="53">
        <v>0</v>
      </c>
      <c r="K51" s="53">
        <v>0</v>
      </c>
      <c r="L51" s="53">
        <v>0</v>
      </c>
      <c r="M51" s="43"/>
      <c r="N51" s="53">
        <v>0</v>
      </c>
      <c r="O51" s="53">
        <v>0</v>
      </c>
      <c r="P51" s="53">
        <v>0</v>
      </c>
      <c r="Q51" s="53">
        <v>3452.85</v>
      </c>
    </row>
    <row r="52" spans="1:17" ht="26.45">
      <c r="A52" s="44">
        <v>2024</v>
      </c>
      <c r="B52" s="46" t="s">
        <v>1411</v>
      </c>
      <c r="C52" s="46" t="s">
        <v>9005</v>
      </c>
      <c r="D52" s="44" t="s">
        <v>94</v>
      </c>
      <c r="E52" s="45" t="s">
        <v>638</v>
      </c>
      <c r="F52" s="54">
        <v>14417.56</v>
      </c>
      <c r="G52" s="54">
        <v>9617.41</v>
      </c>
      <c r="H52" s="54">
        <v>0</v>
      </c>
      <c r="I52" s="54">
        <v>0</v>
      </c>
      <c r="J52" s="54">
        <v>0</v>
      </c>
      <c r="K52" s="54">
        <v>0</v>
      </c>
      <c r="L52" s="54">
        <v>0</v>
      </c>
      <c r="M52" s="43"/>
      <c r="N52" s="54">
        <v>0</v>
      </c>
      <c r="O52" s="54">
        <v>0</v>
      </c>
      <c r="P52" s="54">
        <v>0</v>
      </c>
      <c r="Q52" s="54">
        <v>24034.97</v>
      </c>
    </row>
    <row r="53" spans="1:17" ht="26.45">
      <c r="A53" s="44">
        <v>2024</v>
      </c>
      <c r="B53" s="46" t="s">
        <v>1411</v>
      </c>
      <c r="C53" s="46" t="s">
        <v>9005</v>
      </c>
      <c r="D53" s="44" t="s">
        <v>95</v>
      </c>
      <c r="E53" s="45" t="s">
        <v>645</v>
      </c>
      <c r="F53" s="54">
        <v>14051.99</v>
      </c>
      <c r="G53" s="54">
        <v>13842.22</v>
      </c>
      <c r="H53" s="54">
        <v>0</v>
      </c>
      <c r="I53" s="54">
        <v>0</v>
      </c>
      <c r="J53" s="54">
        <v>0</v>
      </c>
      <c r="K53" s="54">
        <v>0</v>
      </c>
      <c r="L53" s="54">
        <v>0</v>
      </c>
      <c r="M53" s="43"/>
      <c r="N53" s="54">
        <v>0</v>
      </c>
      <c r="O53" s="54">
        <v>0</v>
      </c>
      <c r="P53" s="54">
        <v>0</v>
      </c>
      <c r="Q53" s="54">
        <v>27894.21</v>
      </c>
    </row>
    <row r="54" spans="1:17" ht="26.45">
      <c r="A54" s="47">
        <v>2024</v>
      </c>
      <c r="B54" s="50" t="s">
        <v>1411</v>
      </c>
      <c r="C54" s="50" t="s">
        <v>9005</v>
      </c>
      <c r="D54" s="47" t="s">
        <v>96</v>
      </c>
      <c r="E54" s="48" t="s">
        <v>646</v>
      </c>
      <c r="F54" s="53">
        <v>3474.95</v>
      </c>
      <c r="G54" s="53">
        <v>338</v>
      </c>
      <c r="H54" s="53">
        <v>0</v>
      </c>
      <c r="I54" s="53">
        <v>0</v>
      </c>
      <c r="J54" s="53">
        <v>0</v>
      </c>
      <c r="K54" s="53">
        <v>0</v>
      </c>
      <c r="L54" s="53">
        <v>0</v>
      </c>
      <c r="M54" s="43"/>
      <c r="N54" s="53">
        <v>0</v>
      </c>
      <c r="O54" s="53">
        <v>0</v>
      </c>
      <c r="P54" s="53">
        <v>0</v>
      </c>
      <c r="Q54" s="53">
        <v>3812.95</v>
      </c>
    </row>
    <row r="55" spans="1:17" ht="26.45">
      <c r="A55" s="44">
        <v>2024</v>
      </c>
      <c r="B55" s="46" t="s">
        <v>1411</v>
      </c>
      <c r="C55" s="46" t="s">
        <v>9005</v>
      </c>
      <c r="D55" s="44" t="s">
        <v>97</v>
      </c>
      <c r="E55" s="45" t="s">
        <v>647</v>
      </c>
      <c r="F55" s="54">
        <v>542.67999999999995</v>
      </c>
      <c r="G55" s="54">
        <v>0</v>
      </c>
      <c r="H55" s="54">
        <v>0</v>
      </c>
      <c r="I55" s="54">
        <v>0</v>
      </c>
      <c r="J55" s="54">
        <v>0</v>
      </c>
      <c r="K55" s="54">
        <v>0</v>
      </c>
      <c r="L55" s="54">
        <v>-542.67999999999995</v>
      </c>
      <c r="M55" s="43"/>
      <c r="N55" s="54">
        <v>0</v>
      </c>
      <c r="O55" s="54">
        <v>0</v>
      </c>
      <c r="P55" s="54">
        <v>0</v>
      </c>
      <c r="Q55" s="54">
        <v>0</v>
      </c>
    </row>
    <row r="56" spans="1:17" ht="26.45">
      <c r="A56" s="47">
        <v>2024</v>
      </c>
      <c r="B56" s="50" t="s">
        <v>1411</v>
      </c>
      <c r="C56" s="50" t="s">
        <v>9005</v>
      </c>
      <c r="D56" s="47" t="s">
        <v>98</v>
      </c>
      <c r="E56" s="48" t="s">
        <v>648</v>
      </c>
      <c r="F56" s="53">
        <v>938.86</v>
      </c>
      <c r="G56" s="53">
        <v>0</v>
      </c>
      <c r="H56" s="53">
        <v>0</v>
      </c>
      <c r="I56" s="53">
        <v>0</v>
      </c>
      <c r="J56" s="53">
        <v>0</v>
      </c>
      <c r="K56" s="53">
        <v>0</v>
      </c>
      <c r="L56" s="53">
        <v>-938.86</v>
      </c>
      <c r="M56" s="43"/>
      <c r="N56" s="53">
        <v>0</v>
      </c>
      <c r="O56" s="53">
        <v>0</v>
      </c>
      <c r="P56" s="53">
        <v>0</v>
      </c>
      <c r="Q56" s="53">
        <v>0</v>
      </c>
    </row>
    <row r="57" spans="1:17" ht="26.45">
      <c r="A57" s="44">
        <v>2024</v>
      </c>
      <c r="B57" s="46" t="s">
        <v>1411</v>
      </c>
      <c r="C57" s="46" t="s">
        <v>9005</v>
      </c>
      <c r="D57" s="44" t="s">
        <v>99</v>
      </c>
      <c r="E57" s="45" t="s">
        <v>649</v>
      </c>
      <c r="F57" s="54">
        <v>910.04</v>
      </c>
      <c r="G57" s="54">
        <v>0</v>
      </c>
      <c r="H57" s="54">
        <v>0</v>
      </c>
      <c r="I57" s="54">
        <v>0</v>
      </c>
      <c r="J57" s="54">
        <v>0</v>
      </c>
      <c r="K57" s="54">
        <v>0</v>
      </c>
      <c r="L57" s="54">
        <v>-910.04</v>
      </c>
      <c r="M57" s="43"/>
      <c r="N57" s="54">
        <v>0</v>
      </c>
      <c r="O57" s="54">
        <v>0</v>
      </c>
      <c r="P57" s="54">
        <v>0</v>
      </c>
      <c r="Q57" s="54">
        <v>0</v>
      </c>
    </row>
    <row r="58" spans="1:17" ht="26.45">
      <c r="A58" s="47">
        <v>2024</v>
      </c>
      <c r="B58" s="50" t="s">
        <v>1411</v>
      </c>
      <c r="C58" s="50" t="s">
        <v>9005</v>
      </c>
      <c r="D58" s="47" t="s">
        <v>100</v>
      </c>
      <c r="E58" s="48" t="s">
        <v>650</v>
      </c>
      <c r="F58" s="53">
        <v>16976.23</v>
      </c>
      <c r="G58" s="53">
        <v>0</v>
      </c>
      <c r="H58" s="53">
        <v>0</v>
      </c>
      <c r="I58" s="53">
        <v>0</v>
      </c>
      <c r="J58" s="53">
        <v>0</v>
      </c>
      <c r="K58" s="53">
        <v>0</v>
      </c>
      <c r="L58" s="53">
        <v>0</v>
      </c>
      <c r="M58" s="43"/>
      <c r="N58" s="53">
        <v>0</v>
      </c>
      <c r="O58" s="53">
        <v>0</v>
      </c>
      <c r="P58" s="53">
        <v>0</v>
      </c>
      <c r="Q58" s="53">
        <v>16976.23</v>
      </c>
    </row>
    <row r="59" spans="1:17" ht="26.45">
      <c r="A59" s="44">
        <v>2024</v>
      </c>
      <c r="B59" s="46" t="s">
        <v>1411</v>
      </c>
      <c r="C59" s="46" t="s">
        <v>9005</v>
      </c>
      <c r="D59" s="44" t="s">
        <v>101</v>
      </c>
      <c r="E59" s="45" t="s">
        <v>652</v>
      </c>
      <c r="F59" s="54">
        <v>668.59</v>
      </c>
      <c r="G59" s="54">
        <v>0</v>
      </c>
      <c r="H59" s="54">
        <v>0</v>
      </c>
      <c r="I59" s="54">
        <v>0</v>
      </c>
      <c r="J59" s="54">
        <v>0</v>
      </c>
      <c r="K59" s="54">
        <v>0</v>
      </c>
      <c r="L59" s="54">
        <v>-668.59</v>
      </c>
      <c r="M59" s="43"/>
      <c r="N59" s="54">
        <v>0</v>
      </c>
      <c r="O59" s="54">
        <v>0</v>
      </c>
      <c r="P59" s="54">
        <v>0</v>
      </c>
      <c r="Q59" s="54">
        <v>0</v>
      </c>
    </row>
    <row r="60" spans="1:17" ht="26.45">
      <c r="A60" s="44">
        <v>2024</v>
      </c>
      <c r="B60" s="46" t="s">
        <v>1411</v>
      </c>
      <c r="C60" s="46" t="s">
        <v>9005</v>
      </c>
      <c r="D60" s="44" t="s">
        <v>102</v>
      </c>
      <c r="E60" s="45" t="s">
        <v>652</v>
      </c>
      <c r="F60" s="54">
        <v>492.21</v>
      </c>
      <c r="G60" s="54">
        <v>0</v>
      </c>
      <c r="H60" s="54">
        <v>0</v>
      </c>
      <c r="I60" s="54">
        <v>0</v>
      </c>
      <c r="J60" s="54">
        <v>0</v>
      </c>
      <c r="K60" s="54">
        <v>0</v>
      </c>
      <c r="L60" s="54">
        <v>-492.21</v>
      </c>
      <c r="M60" s="43"/>
      <c r="N60" s="54">
        <v>0</v>
      </c>
      <c r="O60" s="54">
        <v>0</v>
      </c>
      <c r="P60" s="54">
        <v>0</v>
      </c>
      <c r="Q60" s="54">
        <v>0</v>
      </c>
    </row>
    <row r="61" spans="1:17" ht="26.45">
      <c r="A61" s="47">
        <v>2024</v>
      </c>
      <c r="B61" s="50" t="s">
        <v>1411</v>
      </c>
      <c r="C61" s="50" t="s">
        <v>9005</v>
      </c>
      <c r="D61" s="47" t="s">
        <v>103</v>
      </c>
      <c r="E61" s="48" t="s">
        <v>652</v>
      </c>
      <c r="F61" s="53">
        <v>815.29</v>
      </c>
      <c r="G61" s="53">
        <v>0</v>
      </c>
      <c r="H61" s="53">
        <v>0</v>
      </c>
      <c r="I61" s="53">
        <v>0</v>
      </c>
      <c r="J61" s="53">
        <v>0</v>
      </c>
      <c r="K61" s="53">
        <v>0</v>
      </c>
      <c r="L61" s="53">
        <v>-815.29</v>
      </c>
      <c r="M61" s="43"/>
      <c r="N61" s="53">
        <v>0</v>
      </c>
      <c r="O61" s="53">
        <v>0</v>
      </c>
      <c r="P61" s="53">
        <v>0</v>
      </c>
      <c r="Q61" s="53">
        <v>0</v>
      </c>
    </row>
    <row r="62" spans="1:17" ht="26.45">
      <c r="A62" s="44">
        <v>2024</v>
      </c>
      <c r="B62" s="46" t="s">
        <v>1411</v>
      </c>
      <c r="C62" s="46" t="s">
        <v>9005</v>
      </c>
      <c r="D62" s="44" t="s">
        <v>104</v>
      </c>
      <c r="E62" s="45" t="s">
        <v>652</v>
      </c>
      <c r="F62" s="54">
        <v>443.02</v>
      </c>
      <c r="G62" s="54">
        <v>0</v>
      </c>
      <c r="H62" s="54">
        <v>0</v>
      </c>
      <c r="I62" s="54">
        <v>0</v>
      </c>
      <c r="J62" s="54">
        <v>0</v>
      </c>
      <c r="K62" s="54">
        <v>0</v>
      </c>
      <c r="L62" s="54">
        <v>-443.02</v>
      </c>
      <c r="M62" s="43"/>
      <c r="N62" s="54">
        <v>0</v>
      </c>
      <c r="O62" s="54">
        <v>0</v>
      </c>
      <c r="P62" s="54">
        <v>0</v>
      </c>
      <c r="Q62" s="54">
        <v>0</v>
      </c>
    </row>
    <row r="63" spans="1:17" ht="26.45">
      <c r="A63" s="47">
        <v>2024</v>
      </c>
      <c r="B63" s="50" t="s">
        <v>1411</v>
      </c>
      <c r="C63" s="50" t="s">
        <v>9005</v>
      </c>
      <c r="D63" s="47" t="s">
        <v>105</v>
      </c>
      <c r="E63" s="48" t="s">
        <v>652</v>
      </c>
      <c r="F63" s="53">
        <v>1275.3800000000001</v>
      </c>
      <c r="G63" s="53">
        <v>0</v>
      </c>
      <c r="H63" s="53">
        <v>0</v>
      </c>
      <c r="I63" s="53">
        <v>0</v>
      </c>
      <c r="J63" s="53">
        <v>0</v>
      </c>
      <c r="K63" s="53">
        <v>0</v>
      </c>
      <c r="L63" s="53">
        <v>-1275.3800000000001</v>
      </c>
      <c r="M63" s="43"/>
      <c r="N63" s="53">
        <v>0</v>
      </c>
      <c r="O63" s="53">
        <v>0</v>
      </c>
      <c r="P63" s="53">
        <v>0</v>
      </c>
      <c r="Q63" s="53">
        <v>0</v>
      </c>
    </row>
    <row r="64" spans="1:17" ht="26.45">
      <c r="A64" s="47">
        <v>2024</v>
      </c>
      <c r="B64" s="50" t="s">
        <v>1411</v>
      </c>
      <c r="C64" s="50" t="s">
        <v>9005</v>
      </c>
      <c r="D64" s="47" t="s">
        <v>106</v>
      </c>
      <c r="E64" s="48" t="s">
        <v>652</v>
      </c>
      <c r="F64" s="53">
        <v>391.75</v>
      </c>
      <c r="G64" s="53">
        <v>0</v>
      </c>
      <c r="H64" s="53">
        <v>0</v>
      </c>
      <c r="I64" s="53">
        <v>0</v>
      </c>
      <c r="J64" s="53">
        <v>0</v>
      </c>
      <c r="K64" s="53">
        <v>0</v>
      </c>
      <c r="L64" s="53">
        <v>-391.75</v>
      </c>
      <c r="M64" s="43"/>
      <c r="N64" s="53">
        <v>0</v>
      </c>
      <c r="O64" s="53">
        <v>0</v>
      </c>
      <c r="P64" s="53">
        <v>0</v>
      </c>
      <c r="Q64" s="53">
        <v>0</v>
      </c>
    </row>
    <row r="65" spans="1:17" ht="26.45">
      <c r="A65" s="44">
        <v>2024</v>
      </c>
      <c r="B65" s="46" t="s">
        <v>1411</v>
      </c>
      <c r="C65" s="46" t="s">
        <v>9005</v>
      </c>
      <c r="D65" s="44" t="s">
        <v>107</v>
      </c>
      <c r="E65" s="45" t="s">
        <v>652</v>
      </c>
      <c r="F65" s="54">
        <v>407.09</v>
      </c>
      <c r="G65" s="54">
        <v>0</v>
      </c>
      <c r="H65" s="54">
        <v>0</v>
      </c>
      <c r="I65" s="54">
        <v>0</v>
      </c>
      <c r="J65" s="54">
        <v>0</v>
      </c>
      <c r="K65" s="54">
        <v>0</v>
      </c>
      <c r="L65" s="54">
        <v>-407.09</v>
      </c>
      <c r="M65" s="43"/>
      <c r="N65" s="54">
        <v>0</v>
      </c>
      <c r="O65" s="54">
        <v>0</v>
      </c>
      <c r="P65" s="54">
        <v>0</v>
      </c>
      <c r="Q65" s="54">
        <v>0</v>
      </c>
    </row>
    <row r="66" spans="1:17" ht="26.45">
      <c r="A66" s="47">
        <v>2024</v>
      </c>
      <c r="B66" s="50" t="s">
        <v>1411</v>
      </c>
      <c r="C66" s="50" t="s">
        <v>9005</v>
      </c>
      <c r="D66" s="47" t="s">
        <v>108</v>
      </c>
      <c r="E66" s="48" t="s">
        <v>652</v>
      </c>
      <c r="F66" s="53">
        <v>1695.59</v>
      </c>
      <c r="G66" s="53">
        <v>0</v>
      </c>
      <c r="H66" s="53">
        <v>0</v>
      </c>
      <c r="I66" s="53">
        <v>0</v>
      </c>
      <c r="J66" s="53">
        <v>0</v>
      </c>
      <c r="K66" s="53">
        <v>0</v>
      </c>
      <c r="L66" s="53">
        <v>-1695.59</v>
      </c>
      <c r="M66" s="43"/>
      <c r="N66" s="53">
        <v>0</v>
      </c>
      <c r="O66" s="53">
        <v>0</v>
      </c>
      <c r="P66" s="53">
        <v>0</v>
      </c>
      <c r="Q66" s="53">
        <v>0</v>
      </c>
    </row>
    <row r="67" spans="1:17" ht="26.45">
      <c r="A67" s="44">
        <v>2024</v>
      </c>
      <c r="B67" s="46" t="s">
        <v>1411</v>
      </c>
      <c r="C67" s="46" t="s">
        <v>9005</v>
      </c>
      <c r="D67" s="44" t="s">
        <v>109</v>
      </c>
      <c r="E67" s="45" t="s">
        <v>652</v>
      </c>
      <c r="F67" s="54">
        <v>466.07</v>
      </c>
      <c r="G67" s="54">
        <v>0</v>
      </c>
      <c r="H67" s="54">
        <v>0</v>
      </c>
      <c r="I67" s="54">
        <v>0</v>
      </c>
      <c r="J67" s="54">
        <v>0</v>
      </c>
      <c r="K67" s="54">
        <v>0</v>
      </c>
      <c r="L67" s="54">
        <v>-466.07</v>
      </c>
      <c r="M67" s="43"/>
      <c r="N67" s="54">
        <v>0</v>
      </c>
      <c r="O67" s="54">
        <v>0</v>
      </c>
      <c r="P67" s="54">
        <v>0</v>
      </c>
      <c r="Q67" s="54">
        <v>0</v>
      </c>
    </row>
    <row r="68" spans="1:17" ht="26.45">
      <c r="A68" s="47">
        <v>2024</v>
      </c>
      <c r="B68" s="50" t="s">
        <v>1411</v>
      </c>
      <c r="C68" s="50" t="s">
        <v>9005</v>
      </c>
      <c r="D68" s="47" t="s">
        <v>110</v>
      </c>
      <c r="E68" s="48" t="s">
        <v>652</v>
      </c>
      <c r="F68" s="53">
        <v>930.2</v>
      </c>
      <c r="G68" s="53">
        <v>0</v>
      </c>
      <c r="H68" s="53">
        <v>0</v>
      </c>
      <c r="I68" s="53">
        <v>0</v>
      </c>
      <c r="J68" s="53">
        <v>0</v>
      </c>
      <c r="K68" s="53">
        <v>0</v>
      </c>
      <c r="L68" s="53">
        <v>-930.2</v>
      </c>
      <c r="M68" s="43"/>
      <c r="N68" s="53">
        <v>0</v>
      </c>
      <c r="O68" s="53">
        <v>0</v>
      </c>
      <c r="P68" s="53">
        <v>0</v>
      </c>
      <c r="Q68" s="53">
        <v>0</v>
      </c>
    </row>
    <row r="69" spans="1:17" ht="26.45">
      <c r="A69" s="47">
        <v>2024</v>
      </c>
      <c r="B69" s="50" t="s">
        <v>1411</v>
      </c>
      <c r="C69" s="50" t="s">
        <v>9005</v>
      </c>
      <c r="D69" s="47" t="s">
        <v>111</v>
      </c>
      <c r="E69" s="48" t="s">
        <v>652</v>
      </c>
      <c r="F69" s="53">
        <v>1219.47</v>
      </c>
      <c r="G69" s="53">
        <v>0</v>
      </c>
      <c r="H69" s="53">
        <v>0</v>
      </c>
      <c r="I69" s="53">
        <v>0</v>
      </c>
      <c r="J69" s="53">
        <v>0</v>
      </c>
      <c r="K69" s="53">
        <v>0</v>
      </c>
      <c r="L69" s="53">
        <v>-1219.47</v>
      </c>
      <c r="M69" s="43"/>
      <c r="N69" s="53">
        <v>0</v>
      </c>
      <c r="O69" s="53">
        <v>0</v>
      </c>
      <c r="P69" s="53">
        <v>0</v>
      </c>
      <c r="Q69" s="53">
        <v>0</v>
      </c>
    </row>
    <row r="70" spans="1:17" ht="26.45">
      <c r="A70" s="44">
        <v>2024</v>
      </c>
      <c r="B70" s="46" t="s">
        <v>1411</v>
      </c>
      <c r="C70" s="46" t="s">
        <v>9005</v>
      </c>
      <c r="D70" s="44" t="s">
        <v>112</v>
      </c>
      <c r="E70" s="45" t="s">
        <v>652</v>
      </c>
      <c r="F70" s="54">
        <v>2597.31</v>
      </c>
      <c r="G70" s="54">
        <v>0</v>
      </c>
      <c r="H70" s="54">
        <v>0</v>
      </c>
      <c r="I70" s="54">
        <v>0</v>
      </c>
      <c r="J70" s="54">
        <v>0</v>
      </c>
      <c r="K70" s="54">
        <v>0</v>
      </c>
      <c r="L70" s="54">
        <v>-2597.31</v>
      </c>
      <c r="M70" s="43"/>
      <c r="N70" s="54">
        <v>0</v>
      </c>
      <c r="O70" s="54">
        <v>0</v>
      </c>
      <c r="P70" s="54">
        <v>0</v>
      </c>
      <c r="Q70" s="54">
        <v>0</v>
      </c>
    </row>
    <row r="71" spans="1:17" ht="26.45">
      <c r="A71" s="47">
        <v>2024</v>
      </c>
      <c r="B71" s="50" t="s">
        <v>1411</v>
      </c>
      <c r="C71" s="50" t="s">
        <v>9005</v>
      </c>
      <c r="D71" s="47" t="s">
        <v>113</v>
      </c>
      <c r="E71" s="48" t="s">
        <v>652</v>
      </c>
      <c r="F71" s="53">
        <v>1760.78</v>
      </c>
      <c r="G71" s="53">
        <v>0</v>
      </c>
      <c r="H71" s="53">
        <v>0</v>
      </c>
      <c r="I71" s="53">
        <v>0</v>
      </c>
      <c r="J71" s="53">
        <v>0</v>
      </c>
      <c r="K71" s="53">
        <v>0</v>
      </c>
      <c r="L71" s="53">
        <v>-1760.78</v>
      </c>
      <c r="M71" s="43"/>
      <c r="N71" s="53">
        <v>0</v>
      </c>
      <c r="O71" s="53">
        <v>0</v>
      </c>
      <c r="P71" s="53">
        <v>0</v>
      </c>
      <c r="Q71" s="53">
        <v>0</v>
      </c>
    </row>
    <row r="72" spans="1:17" ht="26.45">
      <c r="A72" s="47">
        <v>2024</v>
      </c>
      <c r="B72" s="50" t="s">
        <v>1411</v>
      </c>
      <c r="C72" s="50" t="s">
        <v>9005</v>
      </c>
      <c r="D72" s="47" t="s">
        <v>114</v>
      </c>
      <c r="E72" s="48" t="s">
        <v>652</v>
      </c>
      <c r="F72" s="53">
        <v>471.73</v>
      </c>
      <c r="G72" s="53">
        <v>0</v>
      </c>
      <c r="H72" s="53">
        <v>0</v>
      </c>
      <c r="I72" s="53">
        <v>0</v>
      </c>
      <c r="J72" s="53">
        <v>0</v>
      </c>
      <c r="K72" s="53">
        <v>0</v>
      </c>
      <c r="L72" s="53">
        <v>-471.73</v>
      </c>
      <c r="M72" s="43"/>
      <c r="N72" s="53">
        <v>0</v>
      </c>
      <c r="O72" s="53">
        <v>0</v>
      </c>
      <c r="P72" s="53">
        <v>0</v>
      </c>
      <c r="Q72" s="53">
        <v>0</v>
      </c>
    </row>
    <row r="73" spans="1:17" ht="26.45">
      <c r="A73" s="44">
        <v>2024</v>
      </c>
      <c r="B73" s="46" t="s">
        <v>1411</v>
      </c>
      <c r="C73" s="46" t="s">
        <v>9005</v>
      </c>
      <c r="D73" s="44" t="s">
        <v>115</v>
      </c>
      <c r="E73" s="45" t="s">
        <v>660</v>
      </c>
      <c r="F73" s="54">
        <v>735.92</v>
      </c>
      <c r="G73" s="54">
        <v>52.76</v>
      </c>
      <c r="H73" s="54">
        <v>0</v>
      </c>
      <c r="I73" s="54">
        <v>0</v>
      </c>
      <c r="J73" s="54">
        <v>0</v>
      </c>
      <c r="K73" s="54">
        <v>0</v>
      </c>
      <c r="L73" s="54">
        <v>0</v>
      </c>
      <c r="M73" s="43"/>
      <c r="N73" s="54">
        <v>0</v>
      </c>
      <c r="O73" s="54">
        <v>0</v>
      </c>
      <c r="P73" s="54">
        <v>0</v>
      </c>
      <c r="Q73" s="54">
        <v>788.68</v>
      </c>
    </row>
    <row r="74" spans="1:17" ht="26.45">
      <c r="A74" s="47">
        <v>2024</v>
      </c>
      <c r="B74" s="50" t="s">
        <v>1411</v>
      </c>
      <c r="C74" s="50" t="s">
        <v>9005</v>
      </c>
      <c r="D74" s="47" t="s">
        <v>116</v>
      </c>
      <c r="E74" s="48" t="s">
        <v>661</v>
      </c>
      <c r="F74" s="53">
        <v>2304.19</v>
      </c>
      <c r="G74" s="53">
        <v>3489.91</v>
      </c>
      <c r="H74" s="53">
        <v>0</v>
      </c>
      <c r="I74" s="53">
        <v>0</v>
      </c>
      <c r="J74" s="53">
        <v>0</v>
      </c>
      <c r="K74" s="53">
        <v>0</v>
      </c>
      <c r="L74" s="53">
        <v>0</v>
      </c>
      <c r="M74" s="43"/>
      <c r="N74" s="53">
        <v>0</v>
      </c>
      <c r="O74" s="53">
        <v>0</v>
      </c>
      <c r="P74" s="53">
        <v>0</v>
      </c>
      <c r="Q74" s="53">
        <v>5794.1</v>
      </c>
    </row>
    <row r="75" spans="1:17" ht="26.45">
      <c r="A75" s="44">
        <v>2024</v>
      </c>
      <c r="B75" s="46" t="s">
        <v>1411</v>
      </c>
      <c r="C75" s="46" t="s">
        <v>9005</v>
      </c>
      <c r="D75" s="44" t="s">
        <v>117</v>
      </c>
      <c r="E75" s="45" t="s">
        <v>662</v>
      </c>
      <c r="F75" s="54">
        <v>947.97</v>
      </c>
      <c r="G75" s="54">
        <v>0</v>
      </c>
      <c r="H75" s="54">
        <v>0</v>
      </c>
      <c r="I75" s="54">
        <v>0</v>
      </c>
      <c r="J75" s="54">
        <v>0</v>
      </c>
      <c r="K75" s="54">
        <v>0</v>
      </c>
      <c r="L75" s="54">
        <v>0</v>
      </c>
      <c r="M75" s="43"/>
      <c r="N75" s="54">
        <v>0</v>
      </c>
      <c r="O75" s="54">
        <v>0</v>
      </c>
      <c r="P75" s="54">
        <v>0</v>
      </c>
      <c r="Q75" s="54">
        <v>947.97</v>
      </c>
    </row>
    <row r="76" spans="1:17" ht="39.6">
      <c r="A76" s="47">
        <v>2024</v>
      </c>
      <c r="B76" s="50" t="s">
        <v>1411</v>
      </c>
      <c r="C76" s="50" t="s">
        <v>9005</v>
      </c>
      <c r="D76" s="47" t="s">
        <v>118</v>
      </c>
      <c r="E76" s="48" t="s">
        <v>663</v>
      </c>
      <c r="F76" s="53">
        <v>3227.09</v>
      </c>
      <c r="G76" s="53">
        <v>0</v>
      </c>
      <c r="H76" s="53">
        <v>0</v>
      </c>
      <c r="I76" s="53">
        <v>0</v>
      </c>
      <c r="J76" s="53">
        <v>0</v>
      </c>
      <c r="K76" s="53">
        <v>0</v>
      </c>
      <c r="L76" s="53">
        <v>0</v>
      </c>
      <c r="M76" s="43"/>
      <c r="N76" s="53">
        <v>0</v>
      </c>
      <c r="O76" s="53">
        <v>0</v>
      </c>
      <c r="P76" s="53">
        <v>0</v>
      </c>
      <c r="Q76" s="53">
        <v>3227.09</v>
      </c>
    </row>
    <row r="77" spans="1:17" ht="26.45">
      <c r="A77" s="44">
        <v>2024</v>
      </c>
      <c r="B77" s="46" t="s">
        <v>1411</v>
      </c>
      <c r="C77" s="46" t="s">
        <v>9005</v>
      </c>
      <c r="D77" s="44" t="s">
        <v>119</v>
      </c>
      <c r="E77" s="45" t="s">
        <v>664</v>
      </c>
      <c r="F77" s="54">
        <v>4589.93</v>
      </c>
      <c r="G77" s="54">
        <v>1004.07</v>
      </c>
      <c r="H77" s="54">
        <v>0</v>
      </c>
      <c r="I77" s="54">
        <v>0</v>
      </c>
      <c r="J77" s="54">
        <v>0</v>
      </c>
      <c r="K77" s="54">
        <v>0</v>
      </c>
      <c r="L77" s="54">
        <v>0</v>
      </c>
      <c r="M77" s="43"/>
      <c r="N77" s="54">
        <v>0</v>
      </c>
      <c r="O77" s="54">
        <v>0</v>
      </c>
      <c r="P77" s="54">
        <v>0</v>
      </c>
      <c r="Q77" s="54">
        <v>5594</v>
      </c>
    </row>
    <row r="78" spans="1:17" ht="26.45">
      <c r="A78" s="44">
        <v>2024</v>
      </c>
      <c r="B78" s="46" t="s">
        <v>1411</v>
      </c>
      <c r="C78" s="46" t="s">
        <v>9005</v>
      </c>
      <c r="D78" s="44" t="s">
        <v>120</v>
      </c>
      <c r="E78" s="45" t="s">
        <v>667</v>
      </c>
      <c r="F78" s="54">
        <v>1179.3699999999999</v>
      </c>
      <c r="G78" s="54">
        <v>171.82</v>
      </c>
      <c r="H78" s="54">
        <v>0</v>
      </c>
      <c r="I78" s="54">
        <v>0</v>
      </c>
      <c r="J78" s="54">
        <v>0</v>
      </c>
      <c r="K78" s="54">
        <v>0</v>
      </c>
      <c r="L78" s="54">
        <v>0</v>
      </c>
      <c r="M78" s="43"/>
      <c r="N78" s="54">
        <v>0</v>
      </c>
      <c r="O78" s="54">
        <v>0</v>
      </c>
      <c r="P78" s="54">
        <v>0</v>
      </c>
      <c r="Q78" s="54">
        <v>1351.19</v>
      </c>
    </row>
    <row r="79" spans="1:17" ht="26.45">
      <c r="A79" s="44">
        <v>2024</v>
      </c>
      <c r="B79" s="46" t="s">
        <v>1411</v>
      </c>
      <c r="C79" s="46" t="s">
        <v>9005</v>
      </c>
      <c r="D79" s="44" t="s">
        <v>121</v>
      </c>
      <c r="E79" s="45" t="s">
        <v>670</v>
      </c>
      <c r="F79" s="54">
        <v>10772.67</v>
      </c>
      <c r="G79" s="54">
        <v>34.54</v>
      </c>
      <c r="H79" s="54">
        <v>0</v>
      </c>
      <c r="I79" s="54">
        <v>0</v>
      </c>
      <c r="J79" s="54">
        <v>0</v>
      </c>
      <c r="K79" s="54">
        <v>0</v>
      </c>
      <c r="L79" s="54">
        <v>0</v>
      </c>
      <c r="M79" s="43"/>
      <c r="N79" s="54">
        <v>0</v>
      </c>
      <c r="O79" s="54">
        <v>0</v>
      </c>
      <c r="P79" s="54">
        <v>0</v>
      </c>
      <c r="Q79" s="54">
        <v>10807.21</v>
      </c>
    </row>
    <row r="80" spans="1:17" ht="26.45">
      <c r="A80" s="44">
        <v>2024</v>
      </c>
      <c r="B80" s="46" t="s">
        <v>1411</v>
      </c>
      <c r="C80" s="46" t="s">
        <v>9005</v>
      </c>
      <c r="D80" s="44" t="s">
        <v>122</v>
      </c>
      <c r="E80" s="45" t="s">
        <v>673</v>
      </c>
      <c r="F80" s="54">
        <v>392.2</v>
      </c>
      <c r="G80" s="54">
        <v>0</v>
      </c>
      <c r="H80" s="54">
        <v>0</v>
      </c>
      <c r="I80" s="54">
        <v>0</v>
      </c>
      <c r="J80" s="54">
        <v>0</v>
      </c>
      <c r="K80" s="54">
        <v>0</v>
      </c>
      <c r="L80" s="54">
        <v>-392.2</v>
      </c>
      <c r="M80" s="43"/>
      <c r="N80" s="54">
        <v>0</v>
      </c>
      <c r="O80" s="54">
        <v>0</v>
      </c>
      <c r="P80" s="54">
        <v>0</v>
      </c>
      <c r="Q80" s="54">
        <v>0</v>
      </c>
    </row>
    <row r="81" spans="1:17" ht="26.45">
      <c r="A81" s="47">
        <v>2024</v>
      </c>
      <c r="B81" s="50" t="s">
        <v>1411</v>
      </c>
      <c r="C81" s="50" t="s">
        <v>9005</v>
      </c>
      <c r="D81" s="47" t="s">
        <v>123</v>
      </c>
      <c r="E81" s="48" t="s">
        <v>674</v>
      </c>
      <c r="F81" s="53">
        <v>368.04</v>
      </c>
      <c r="G81" s="53">
        <v>0</v>
      </c>
      <c r="H81" s="53">
        <v>0</v>
      </c>
      <c r="I81" s="53">
        <v>0</v>
      </c>
      <c r="J81" s="53">
        <v>0</v>
      </c>
      <c r="K81" s="53">
        <v>0</v>
      </c>
      <c r="L81" s="53">
        <v>-368.04</v>
      </c>
      <c r="M81" s="43"/>
      <c r="N81" s="53">
        <v>0</v>
      </c>
      <c r="O81" s="53">
        <v>0</v>
      </c>
      <c r="P81" s="53">
        <v>0</v>
      </c>
      <c r="Q81" s="53">
        <v>0</v>
      </c>
    </row>
    <row r="82" spans="1:17" ht="26.45">
      <c r="A82" s="44">
        <v>2024</v>
      </c>
      <c r="B82" s="46" t="s">
        <v>1411</v>
      </c>
      <c r="C82" s="46" t="s">
        <v>9005</v>
      </c>
      <c r="D82" s="44" t="s">
        <v>124</v>
      </c>
      <c r="E82" s="45" t="s">
        <v>675</v>
      </c>
      <c r="F82" s="54">
        <v>379.19</v>
      </c>
      <c r="G82" s="54">
        <v>0</v>
      </c>
      <c r="H82" s="54">
        <v>0</v>
      </c>
      <c r="I82" s="54">
        <v>0</v>
      </c>
      <c r="J82" s="54">
        <v>0</v>
      </c>
      <c r="K82" s="54">
        <v>0</v>
      </c>
      <c r="L82" s="54">
        <v>-379.19</v>
      </c>
      <c r="M82" s="43"/>
      <c r="N82" s="54">
        <v>0</v>
      </c>
      <c r="O82" s="54">
        <v>0</v>
      </c>
      <c r="P82" s="54">
        <v>0</v>
      </c>
      <c r="Q82" s="54">
        <v>0</v>
      </c>
    </row>
    <row r="83" spans="1:17" ht="26.45">
      <c r="A83" s="47">
        <v>2024</v>
      </c>
      <c r="B83" s="50" t="s">
        <v>1411</v>
      </c>
      <c r="C83" s="50" t="s">
        <v>9005</v>
      </c>
      <c r="D83" s="47" t="s">
        <v>125</v>
      </c>
      <c r="E83" s="48" t="s">
        <v>676</v>
      </c>
      <c r="F83" s="53">
        <v>9057.36</v>
      </c>
      <c r="G83" s="53">
        <v>2.25</v>
      </c>
      <c r="H83" s="53">
        <v>0</v>
      </c>
      <c r="I83" s="53">
        <v>0</v>
      </c>
      <c r="J83" s="53">
        <v>0</v>
      </c>
      <c r="K83" s="53">
        <v>0</v>
      </c>
      <c r="L83" s="53">
        <v>0</v>
      </c>
      <c r="M83" s="43"/>
      <c r="N83" s="53">
        <v>0</v>
      </c>
      <c r="O83" s="53">
        <v>0</v>
      </c>
      <c r="P83" s="53">
        <v>0</v>
      </c>
      <c r="Q83" s="53">
        <v>9059.61</v>
      </c>
    </row>
    <row r="84" spans="1:17" ht="26.45">
      <c r="A84" s="47">
        <v>2024</v>
      </c>
      <c r="B84" s="50" t="s">
        <v>1411</v>
      </c>
      <c r="C84" s="50" t="s">
        <v>9005</v>
      </c>
      <c r="D84" s="47" t="s">
        <v>126</v>
      </c>
      <c r="E84" s="48" t="s">
        <v>679</v>
      </c>
      <c r="F84" s="53">
        <v>10969.84</v>
      </c>
      <c r="G84" s="53">
        <v>2229.1799999999998</v>
      </c>
      <c r="H84" s="53">
        <v>0</v>
      </c>
      <c r="I84" s="53">
        <v>0</v>
      </c>
      <c r="J84" s="53">
        <v>0</v>
      </c>
      <c r="K84" s="53">
        <v>0</v>
      </c>
      <c r="L84" s="53">
        <v>0</v>
      </c>
      <c r="M84" s="43"/>
      <c r="N84" s="53">
        <v>0</v>
      </c>
      <c r="O84" s="53">
        <v>0</v>
      </c>
      <c r="P84" s="53">
        <v>0</v>
      </c>
      <c r="Q84" s="53">
        <v>13199.02</v>
      </c>
    </row>
    <row r="85" spans="1:17" ht="52.9">
      <c r="A85" s="44">
        <v>2024</v>
      </c>
      <c r="B85" s="46" t="s">
        <v>1411</v>
      </c>
      <c r="C85" s="46" t="s">
        <v>9005</v>
      </c>
      <c r="D85" s="44" t="s">
        <v>127</v>
      </c>
      <c r="E85" s="45" t="s">
        <v>680</v>
      </c>
      <c r="F85" s="54">
        <v>769.05</v>
      </c>
      <c r="G85" s="54">
        <v>0</v>
      </c>
      <c r="H85" s="54">
        <v>0</v>
      </c>
      <c r="I85" s="54">
        <v>0</v>
      </c>
      <c r="J85" s="54">
        <v>0</v>
      </c>
      <c r="K85" s="54">
        <v>0</v>
      </c>
      <c r="L85" s="54">
        <v>-769.05</v>
      </c>
      <c r="M85" s="43"/>
      <c r="N85" s="54">
        <v>0</v>
      </c>
      <c r="O85" s="54">
        <v>0</v>
      </c>
      <c r="P85" s="54">
        <v>0</v>
      </c>
      <c r="Q85" s="54">
        <v>0</v>
      </c>
    </row>
    <row r="86" spans="1:17" ht="39.6">
      <c r="A86" s="47">
        <v>2024</v>
      </c>
      <c r="B86" s="50" t="s">
        <v>1411</v>
      </c>
      <c r="C86" s="50" t="s">
        <v>9005</v>
      </c>
      <c r="D86" s="47" t="s">
        <v>128</v>
      </c>
      <c r="E86" s="48" t="s">
        <v>681</v>
      </c>
      <c r="F86" s="53">
        <v>729.72</v>
      </c>
      <c r="G86" s="53">
        <v>0</v>
      </c>
      <c r="H86" s="53">
        <v>0</v>
      </c>
      <c r="I86" s="53">
        <v>0</v>
      </c>
      <c r="J86" s="53">
        <v>0</v>
      </c>
      <c r="K86" s="53">
        <v>0</v>
      </c>
      <c r="L86" s="53">
        <v>-729.72</v>
      </c>
      <c r="M86" s="43"/>
      <c r="N86" s="53">
        <v>0</v>
      </c>
      <c r="O86" s="53">
        <v>0</v>
      </c>
      <c r="P86" s="53">
        <v>0</v>
      </c>
      <c r="Q86" s="53">
        <v>0</v>
      </c>
    </row>
    <row r="87" spans="1:17" ht="26.45">
      <c r="A87" s="44">
        <v>2024</v>
      </c>
      <c r="B87" s="46" t="s">
        <v>1411</v>
      </c>
      <c r="C87" s="46" t="s">
        <v>9005</v>
      </c>
      <c r="D87" s="44" t="s">
        <v>129</v>
      </c>
      <c r="E87" s="45" t="s">
        <v>682</v>
      </c>
      <c r="F87" s="54">
        <v>940.01</v>
      </c>
      <c r="G87" s="54">
        <v>0</v>
      </c>
      <c r="H87" s="54">
        <v>0</v>
      </c>
      <c r="I87" s="54">
        <v>0</v>
      </c>
      <c r="J87" s="54">
        <v>0</v>
      </c>
      <c r="K87" s="54">
        <v>0</v>
      </c>
      <c r="L87" s="54">
        <v>-940.01</v>
      </c>
      <c r="M87" s="43"/>
      <c r="N87" s="54">
        <v>0</v>
      </c>
      <c r="O87" s="54">
        <v>0</v>
      </c>
      <c r="P87" s="54">
        <v>0</v>
      </c>
      <c r="Q87" s="54">
        <v>0</v>
      </c>
    </row>
    <row r="88" spans="1:17" ht="26.45">
      <c r="A88" s="47">
        <v>2024</v>
      </c>
      <c r="B88" s="50" t="s">
        <v>1411</v>
      </c>
      <c r="C88" s="50" t="s">
        <v>9005</v>
      </c>
      <c r="D88" s="47" t="s">
        <v>130</v>
      </c>
      <c r="E88" s="48" t="s">
        <v>683</v>
      </c>
      <c r="F88" s="53">
        <v>176.66</v>
      </c>
      <c r="G88" s="53">
        <v>0</v>
      </c>
      <c r="H88" s="53">
        <v>0</v>
      </c>
      <c r="I88" s="53">
        <v>0</v>
      </c>
      <c r="J88" s="53">
        <v>0</v>
      </c>
      <c r="K88" s="53">
        <v>0</v>
      </c>
      <c r="L88" s="53">
        <v>-176.66</v>
      </c>
      <c r="M88" s="43"/>
      <c r="N88" s="53">
        <v>0</v>
      </c>
      <c r="O88" s="53">
        <v>0</v>
      </c>
      <c r="P88" s="53">
        <v>0</v>
      </c>
      <c r="Q88" s="53">
        <v>0</v>
      </c>
    </row>
    <row r="89" spans="1:17" ht="26.45">
      <c r="A89" s="44">
        <v>2024</v>
      </c>
      <c r="B89" s="46" t="s">
        <v>1411</v>
      </c>
      <c r="C89" s="46" t="s">
        <v>9005</v>
      </c>
      <c r="D89" s="44" t="s">
        <v>131</v>
      </c>
      <c r="E89" s="45" t="s">
        <v>684</v>
      </c>
      <c r="F89" s="54">
        <v>830.47</v>
      </c>
      <c r="G89" s="54">
        <v>0</v>
      </c>
      <c r="H89" s="54">
        <v>0</v>
      </c>
      <c r="I89" s="54">
        <v>0</v>
      </c>
      <c r="J89" s="54">
        <v>0</v>
      </c>
      <c r="K89" s="54">
        <v>0</v>
      </c>
      <c r="L89" s="54">
        <v>0</v>
      </c>
      <c r="M89" s="43"/>
      <c r="N89" s="54">
        <v>0</v>
      </c>
      <c r="O89" s="54">
        <v>0</v>
      </c>
      <c r="P89" s="54">
        <v>0</v>
      </c>
      <c r="Q89" s="54">
        <v>830.47</v>
      </c>
    </row>
    <row r="90" spans="1:17" ht="26.45">
      <c r="A90" s="47">
        <v>2024</v>
      </c>
      <c r="B90" s="50" t="s">
        <v>1411</v>
      </c>
      <c r="C90" s="50" t="s">
        <v>9005</v>
      </c>
      <c r="D90" s="47" t="s">
        <v>132</v>
      </c>
      <c r="E90" s="48" t="s">
        <v>685</v>
      </c>
      <c r="F90" s="53">
        <v>16171.19</v>
      </c>
      <c r="G90" s="53">
        <v>2459.54</v>
      </c>
      <c r="H90" s="53">
        <v>0</v>
      </c>
      <c r="I90" s="53">
        <v>0</v>
      </c>
      <c r="J90" s="53">
        <v>0</v>
      </c>
      <c r="K90" s="53">
        <v>0</v>
      </c>
      <c r="L90" s="53">
        <v>0</v>
      </c>
      <c r="M90" s="43"/>
      <c r="N90" s="53">
        <v>0</v>
      </c>
      <c r="O90" s="53">
        <v>0</v>
      </c>
      <c r="P90" s="53">
        <v>0</v>
      </c>
      <c r="Q90" s="53">
        <v>18630.73</v>
      </c>
    </row>
    <row r="91" spans="1:17" ht="26.45">
      <c r="A91" s="44">
        <v>2024</v>
      </c>
      <c r="B91" s="46" t="s">
        <v>1411</v>
      </c>
      <c r="C91" s="46" t="s">
        <v>9005</v>
      </c>
      <c r="D91" s="44" t="s">
        <v>133</v>
      </c>
      <c r="E91" s="45" t="s">
        <v>686</v>
      </c>
      <c r="F91" s="54">
        <v>651.89</v>
      </c>
      <c r="G91" s="54">
        <v>0</v>
      </c>
      <c r="H91" s="54">
        <v>0</v>
      </c>
      <c r="I91" s="54">
        <v>0</v>
      </c>
      <c r="J91" s="54">
        <v>0</v>
      </c>
      <c r="K91" s="54">
        <v>0</v>
      </c>
      <c r="L91" s="54">
        <v>0</v>
      </c>
      <c r="M91" s="43"/>
      <c r="N91" s="54">
        <v>0</v>
      </c>
      <c r="O91" s="54">
        <v>0</v>
      </c>
      <c r="P91" s="54">
        <v>0</v>
      </c>
      <c r="Q91" s="54">
        <v>651.89</v>
      </c>
    </row>
    <row r="92" spans="1:17" ht="26.45">
      <c r="A92" s="47">
        <v>2024</v>
      </c>
      <c r="B92" s="50" t="s">
        <v>1411</v>
      </c>
      <c r="C92" s="50" t="s">
        <v>9005</v>
      </c>
      <c r="D92" s="47" t="s">
        <v>134</v>
      </c>
      <c r="E92" s="48" t="s">
        <v>686</v>
      </c>
      <c r="F92" s="53">
        <v>218.58</v>
      </c>
      <c r="G92" s="53">
        <v>0</v>
      </c>
      <c r="H92" s="53">
        <v>0</v>
      </c>
      <c r="I92" s="53">
        <v>0</v>
      </c>
      <c r="J92" s="53">
        <v>0</v>
      </c>
      <c r="K92" s="53">
        <v>0</v>
      </c>
      <c r="L92" s="53">
        <v>0</v>
      </c>
      <c r="M92" s="43"/>
      <c r="N92" s="53">
        <v>0</v>
      </c>
      <c r="O92" s="53">
        <v>0</v>
      </c>
      <c r="P92" s="53">
        <v>0</v>
      </c>
      <c r="Q92" s="53">
        <v>218.58</v>
      </c>
    </row>
    <row r="93" spans="1:17" ht="26.45">
      <c r="A93" s="44">
        <v>2024</v>
      </c>
      <c r="B93" s="46" t="s">
        <v>1411</v>
      </c>
      <c r="C93" s="46" t="s">
        <v>9005</v>
      </c>
      <c r="D93" s="44" t="s">
        <v>135</v>
      </c>
      <c r="E93" s="45" t="s">
        <v>687</v>
      </c>
      <c r="F93" s="54">
        <v>1524.63</v>
      </c>
      <c r="G93" s="54">
        <v>0</v>
      </c>
      <c r="H93" s="54">
        <v>0</v>
      </c>
      <c r="I93" s="54">
        <v>0</v>
      </c>
      <c r="J93" s="54">
        <v>0</v>
      </c>
      <c r="K93" s="54">
        <v>0</v>
      </c>
      <c r="L93" s="54">
        <v>0</v>
      </c>
      <c r="M93" s="43"/>
      <c r="N93" s="54">
        <v>0</v>
      </c>
      <c r="O93" s="54">
        <v>0</v>
      </c>
      <c r="P93" s="54">
        <v>0</v>
      </c>
      <c r="Q93" s="54">
        <v>1524.63</v>
      </c>
    </row>
    <row r="94" spans="1:17" ht="26.45">
      <c r="A94" s="47">
        <v>2024</v>
      </c>
      <c r="B94" s="50" t="s">
        <v>1411</v>
      </c>
      <c r="C94" s="50" t="s">
        <v>9005</v>
      </c>
      <c r="D94" s="47" t="s">
        <v>136</v>
      </c>
      <c r="E94" s="48" t="s">
        <v>688</v>
      </c>
      <c r="F94" s="53">
        <v>293.20999999999998</v>
      </c>
      <c r="G94" s="53">
        <v>0</v>
      </c>
      <c r="H94" s="53">
        <v>0</v>
      </c>
      <c r="I94" s="53">
        <v>0</v>
      </c>
      <c r="J94" s="53">
        <v>0</v>
      </c>
      <c r="K94" s="53">
        <v>0</v>
      </c>
      <c r="L94" s="53">
        <v>-293.20999999999998</v>
      </c>
      <c r="M94" s="43"/>
      <c r="N94" s="53">
        <v>0</v>
      </c>
      <c r="O94" s="53">
        <v>0</v>
      </c>
      <c r="P94" s="53">
        <v>0</v>
      </c>
      <c r="Q94" s="53">
        <v>0</v>
      </c>
    </row>
    <row r="95" spans="1:17" ht="26.45">
      <c r="A95" s="47">
        <v>2024</v>
      </c>
      <c r="B95" s="50" t="s">
        <v>1411</v>
      </c>
      <c r="C95" s="50" t="s">
        <v>9005</v>
      </c>
      <c r="D95" s="47" t="s">
        <v>137</v>
      </c>
      <c r="E95" s="48" t="s">
        <v>691</v>
      </c>
      <c r="F95" s="53">
        <v>1693.07</v>
      </c>
      <c r="G95" s="53">
        <v>87.49</v>
      </c>
      <c r="H95" s="53">
        <v>0</v>
      </c>
      <c r="I95" s="53">
        <v>0</v>
      </c>
      <c r="J95" s="53">
        <v>0</v>
      </c>
      <c r="K95" s="53">
        <v>0</v>
      </c>
      <c r="L95" s="53">
        <v>0</v>
      </c>
      <c r="M95" s="43"/>
      <c r="N95" s="53">
        <v>0</v>
      </c>
      <c r="O95" s="53">
        <v>0</v>
      </c>
      <c r="P95" s="53">
        <v>0</v>
      </c>
      <c r="Q95" s="53">
        <v>1780.56</v>
      </c>
    </row>
    <row r="96" spans="1:17" ht="26.45">
      <c r="A96" s="47">
        <v>2024</v>
      </c>
      <c r="B96" s="50" t="s">
        <v>1411</v>
      </c>
      <c r="C96" s="50" t="s">
        <v>9005</v>
      </c>
      <c r="D96" s="47" t="s">
        <v>138</v>
      </c>
      <c r="E96" s="48" t="s">
        <v>694</v>
      </c>
      <c r="F96" s="53">
        <v>101848.88</v>
      </c>
      <c r="G96" s="53">
        <v>25162</v>
      </c>
      <c r="H96" s="53">
        <v>0</v>
      </c>
      <c r="I96" s="53">
        <v>0</v>
      </c>
      <c r="J96" s="53">
        <v>0</v>
      </c>
      <c r="K96" s="53">
        <v>0</v>
      </c>
      <c r="L96" s="53">
        <v>0</v>
      </c>
      <c r="M96" s="43"/>
      <c r="N96" s="53">
        <v>0</v>
      </c>
      <c r="O96" s="53">
        <v>0</v>
      </c>
      <c r="P96" s="53">
        <v>0</v>
      </c>
      <c r="Q96" s="53">
        <v>127010.88</v>
      </c>
    </row>
    <row r="97" spans="1:17" ht="26.45">
      <c r="A97" s="44">
        <v>2024</v>
      </c>
      <c r="B97" s="46" t="s">
        <v>1411</v>
      </c>
      <c r="C97" s="46" t="s">
        <v>9005</v>
      </c>
      <c r="D97" s="44" t="s">
        <v>139</v>
      </c>
      <c r="E97" s="45" t="s">
        <v>695</v>
      </c>
      <c r="F97" s="54">
        <v>546.95000000000005</v>
      </c>
      <c r="G97" s="54">
        <v>0</v>
      </c>
      <c r="H97" s="54">
        <v>0</v>
      </c>
      <c r="I97" s="54">
        <v>0</v>
      </c>
      <c r="J97" s="54">
        <v>0</v>
      </c>
      <c r="K97" s="54">
        <v>0</v>
      </c>
      <c r="L97" s="54">
        <v>0</v>
      </c>
      <c r="M97" s="43"/>
      <c r="N97" s="54">
        <v>0</v>
      </c>
      <c r="O97" s="54">
        <v>0</v>
      </c>
      <c r="P97" s="54">
        <v>0</v>
      </c>
      <c r="Q97" s="54">
        <v>546.95000000000005</v>
      </c>
    </row>
    <row r="98" spans="1:17" ht="26.45">
      <c r="A98" s="47">
        <v>2024</v>
      </c>
      <c r="B98" s="50" t="s">
        <v>1411</v>
      </c>
      <c r="C98" s="50" t="s">
        <v>9005</v>
      </c>
      <c r="D98" s="47" t="s">
        <v>140</v>
      </c>
      <c r="E98" s="48" t="s">
        <v>696</v>
      </c>
      <c r="F98" s="53">
        <v>30270.28</v>
      </c>
      <c r="G98" s="53">
        <v>0</v>
      </c>
      <c r="H98" s="53">
        <v>0</v>
      </c>
      <c r="I98" s="53">
        <v>0</v>
      </c>
      <c r="J98" s="53">
        <v>0</v>
      </c>
      <c r="K98" s="53">
        <v>0</v>
      </c>
      <c r="L98" s="53">
        <v>0</v>
      </c>
      <c r="M98" s="43"/>
      <c r="N98" s="53">
        <v>0</v>
      </c>
      <c r="O98" s="53">
        <v>0</v>
      </c>
      <c r="P98" s="53">
        <v>0</v>
      </c>
      <c r="Q98" s="53">
        <v>30270.28</v>
      </c>
    </row>
    <row r="99" spans="1:17" ht="26.45">
      <c r="A99" s="47">
        <v>2024</v>
      </c>
      <c r="B99" s="50" t="s">
        <v>1411</v>
      </c>
      <c r="C99" s="50" t="s">
        <v>9005</v>
      </c>
      <c r="D99" s="47" t="s">
        <v>141</v>
      </c>
      <c r="E99" s="48" t="s">
        <v>699</v>
      </c>
      <c r="F99" s="53">
        <v>13412.68</v>
      </c>
      <c r="G99" s="53">
        <v>10.54</v>
      </c>
      <c r="H99" s="53">
        <v>0</v>
      </c>
      <c r="I99" s="53">
        <v>0</v>
      </c>
      <c r="J99" s="53">
        <v>0</v>
      </c>
      <c r="K99" s="53">
        <v>0</v>
      </c>
      <c r="L99" s="53">
        <v>0</v>
      </c>
      <c r="M99" s="43"/>
      <c r="N99" s="53">
        <v>0</v>
      </c>
      <c r="O99" s="53">
        <v>0</v>
      </c>
      <c r="P99" s="53">
        <v>0</v>
      </c>
      <c r="Q99" s="53">
        <v>13423.22</v>
      </c>
    </row>
    <row r="100" spans="1:17" ht="26.45">
      <c r="A100" s="44">
        <v>2024</v>
      </c>
      <c r="B100" s="46" t="s">
        <v>1411</v>
      </c>
      <c r="C100" s="46" t="s">
        <v>9005</v>
      </c>
      <c r="D100" s="44" t="s">
        <v>142</v>
      </c>
      <c r="E100" s="45" t="s">
        <v>700</v>
      </c>
      <c r="F100" s="54">
        <v>465.71</v>
      </c>
      <c r="G100" s="54">
        <v>0</v>
      </c>
      <c r="H100" s="54">
        <v>0</v>
      </c>
      <c r="I100" s="54">
        <v>0</v>
      </c>
      <c r="J100" s="54">
        <v>0</v>
      </c>
      <c r="K100" s="54">
        <v>0</v>
      </c>
      <c r="L100" s="54">
        <v>0</v>
      </c>
      <c r="M100" s="43"/>
      <c r="N100" s="54">
        <v>0</v>
      </c>
      <c r="O100" s="54">
        <v>0</v>
      </c>
      <c r="P100" s="54">
        <v>0</v>
      </c>
      <c r="Q100" s="54">
        <v>465.71</v>
      </c>
    </row>
    <row r="101" spans="1:17" ht="26.45">
      <c r="A101" s="47">
        <v>2024</v>
      </c>
      <c r="B101" s="50" t="s">
        <v>1411</v>
      </c>
      <c r="C101" s="50" t="s">
        <v>9005</v>
      </c>
      <c r="D101" s="47" t="s">
        <v>143</v>
      </c>
      <c r="E101" s="48" t="s">
        <v>701</v>
      </c>
      <c r="F101" s="53">
        <v>22271.439999999999</v>
      </c>
      <c r="G101" s="53">
        <v>7550.93</v>
      </c>
      <c r="H101" s="53">
        <v>0</v>
      </c>
      <c r="I101" s="53">
        <v>0</v>
      </c>
      <c r="J101" s="53">
        <v>0</v>
      </c>
      <c r="K101" s="53">
        <v>0</v>
      </c>
      <c r="L101" s="53">
        <v>0</v>
      </c>
      <c r="M101" s="43"/>
      <c r="N101" s="53">
        <v>0</v>
      </c>
      <c r="O101" s="53">
        <v>0</v>
      </c>
      <c r="P101" s="53">
        <v>0</v>
      </c>
      <c r="Q101" s="53">
        <v>29822.37</v>
      </c>
    </row>
    <row r="102" spans="1:17" ht="26.45">
      <c r="A102" s="44">
        <v>2024</v>
      </c>
      <c r="B102" s="46" t="s">
        <v>1411</v>
      </c>
      <c r="C102" s="46" t="s">
        <v>9005</v>
      </c>
      <c r="D102" s="44" t="s">
        <v>144</v>
      </c>
      <c r="E102" s="45" t="s">
        <v>702</v>
      </c>
      <c r="F102" s="54">
        <v>3200.37</v>
      </c>
      <c r="G102" s="54">
        <v>4846.25</v>
      </c>
      <c r="H102" s="54">
        <v>0</v>
      </c>
      <c r="I102" s="54">
        <v>0</v>
      </c>
      <c r="J102" s="54">
        <v>0</v>
      </c>
      <c r="K102" s="54">
        <v>0</v>
      </c>
      <c r="L102" s="54">
        <v>0</v>
      </c>
      <c r="M102" s="43"/>
      <c r="N102" s="54">
        <v>0</v>
      </c>
      <c r="O102" s="54">
        <v>0</v>
      </c>
      <c r="P102" s="54">
        <v>0</v>
      </c>
      <c r="Q102" s="54">
        <v>8046.62</v>
      </c>
    </row>
    <row r="103" spans="1:17" ht="26.45">
      <c r="A103" s="47">
        <v>2024</v>
      </c>
      <c r="B103" s="50" t="s">
        <v>1411</v>
      </c>
      <c r="C103" s="50" t="s">
        <v>9005</v>
      </c>
      <c r="D103" s="47" t="s">
        <v>145</v>
      </c>
      <c r="E103" s="48" t="s">
        <v>703</v>
      </c>
      <c r="F103" s="53">
        <v>830.27</v>
      </c>
      <c r="G103" s="53">
        <v>0</v>
      </c>
      <c r="H103" s="53">
        <v>0</v>
      </c>
      <c r="I103" s="53">
        <v>0</v>
      </c>
      <c r="J103" s="53">
        <v>0</v>
      </c>
      <c r="K103" s="53">
        <v>0</v>
      </c>
      <c r="L103" s="53">
        <v>-830.27</v>
      </c>
      <c r="M103" s="43"/>
      <c r="N103" s="53">
        <v>0</v>
      </c>
      <c r="O103" s="53">
        <v>0</v>
      </c>
      <c r="P103" s="53">
        <v>0</v>
      </c>
      <c r="Q103" s="53">
        <v>0</v>
      </c>
    </row>
    <row r="104" spans="1:17" ht="26.45">
      <c r="A104" s="44">
        <v>2024</v>
      </c>
      <c r="B104" s="46" t="s">
        <v>1411</v>
      </c>
      <c r="C104" s="46" t="s">
        <v>9005</v>
      </c>
      <c r="D104" s="44" t="s">
        <v>146</v>
      </c>
      <c r="E104" s="45" t="s">
        <v>704</v>
      </c>
      <c r="F104" s="54">
        <v>1653.51</v>
      </c>
      <c r="G104" s="54">
        <v>0</v>
      </c>
      <c r="H104" s="54">
        <v>0</v>
      </c>
      <c r="I104" s="54">
        <v>0</v>
      </c>
      <c r="J104" s="54">
        <v>0</v>
      </c>
      <c r="K104" s="54">
        <v>0</v>
      </c>
      <c r="L104" s="54">
        <v>0</v>
      </c>
      <c r="M104" s="43"/>
      <c r="N104" s="54">
        <v>0</v>
      </c>
      <c r="O104" s="54">
        <v>0</v>
      </c>
      <c r="P104" s="54">
        <v>0</v>
      </c>
      <c r="Q104" s="54">
        <v>1653.51</v>
      </c>
    </row>
    <row r="105" spans="1:17" ht="26.45">
      <c r="A105" s="47">
        <v>2024</v>
      </c>
      <c r="B105" s="50" t="s">
        <v>1411</v>
      </c>
      <c r="C105" s="50" t="s">
        <v>9005</v>
      </c>
      <c r="D105" s="47" t="s">
        <v>147</v>
      </c>
      <c r="E105" s="48" t="s">
        <v>705</v>
      </c>
      <c r="F105" s="53">
        <v>492.4</v>
      </c>
      <c r="G105" s="53">
        <v>0</v>
      </c>
      <c r="H105" s="53">
        <v>0</v>
      </c>
      <c r="I105" s="53">
        <v>0</v>
      </c>
      <c r="J105" s="53">
        <v>0</v>
      </c>
      <c r="K105" s="53">
        <v>0</v>
      </c>
      <c r="L105" s="53">
        <v>0</v>
      </c>
      <c r="M105" s="43"/>
      <c r="N105" s="53">
        <v>0</v>
      </c>
      <c r="O105" s="53">
        <v>0</v>
      </c>
      <c r="P105" s="53">
        <v>0</v>
      </c>
      <c r="Q105" s="53">
        <v>492.4</v>
      </c>
    </row>
    <row r="106" spans="1:17" ht="26.45">
      <c r="A106" s="47">
        <v>2024</v>
      </c>
      <c r="B106" s="50" t="s">
        <v>1411</v>
      </c>
      <c r="C106" s="50" t="s">
        <v>9005</v>
      </c>
      <c r="D106" s="47" t="s">
        <v>148</v>
      </c>
      <c r="E106" s="48" t="s">
        <v>708</v>
      </c>
      <c r="F106" s="53">
        <v>143767.70000000001</v>
      </c>
      <c r="G106" s="53">
        <v>0</v>
      </c>
      <c r="H106" s="53">
        <v>0</v>
      </c>
      <c r="I106" s="53">
        <v>0</v>
      </c>
      <c r="J106" s="53">
        <v>0</v>
      </c>
      <c r="K106" s="53">
        <v>0</v>
      </c>
      <c r="L106" s="53">
        <v>0</v>
      </c>
      <c r="M106" s="43"/>
      <c r="N106" s="53">
        <v>0</v>
      </c>
      <c r="O106" s="53">
        <v>0</v>
      </c>
      <c r="P106" s="53">
        <v>0</v>
      </c>
      <c r="Q106" s="53">
        <v>143767.70000000001</v>
      </c>
    </row>
    <row r="107" spans="1:17" ht="26.45">
      <c r="A107" s="44">
        <v>2024</v>
      </c>
      <c r="B107" s="46" t="s">
        <v>1411</v>
      </c>
      <c r="C107" s="46" t="s">
        <v>9005</v>
      </c>
      <c r="D107" s="44" t="s">
        <v>149</v>
      </c>
      <c r="E107" s="45" t="s">
        <v>709</v>
      </c>
      <c r="F107" s="54">
        <v>6864.61</v>
      </c>
      <c r="G107" s="54">
        <v>95.65</v>
      </c>
      <c r="H107" s="54">
        <v>0</v>
      </c>
      <c r="I107" s="54">
        <v>0</v>
      </c>
      <c r="J107" s="54">
        <v>0</v>
      </c>
      <c r="K107" s="54">
        <v>0</v>
      </c>
      <c r="L107" s="54">
        <v>0</v>
      </c>
      <c r="M107" s="43"/>
      <c r="N107" s="54">
        <v>0</v>
      </c>
      <c r="O107" s="54">
        <v>0</v>
      </c>
      <c r="P107" s="54">
        <v>0</v>
      </c>
      <c r="Q107" s="54">
        <v>6960.26</v>
      </c>
    </row>
    <row r="108" spans="1:17" ht="26.45">
      <c r="A108" s="47">
        <v>2024</v>
      </c>
      <c r="B108" s="50" t="s">
        <v>1411</v>
      </c>
      <c r="C108" s="50" t="s">
        <v>9005</v>
      </c>
      <c r="D108" s="47" t="s">
        <v>150</v>
      </c>
      <c r="E108" s="48" t="s">
        <v>710</v>
      </c>
      <c r="F108" s="53">
        <v>22795.25</v>
      </c>
      <c r="G108" s="53">
        <v>29.15</v>
      </c>
      <c r="H108" s="53">
        <v>0</v>
      </c>
      <c r="I108" s="53">
        <v>0</v>
      </c>
      <c r="J108" s="53">
        <v>0</v>
      </c>
      <c r="K108" s="53">
        <v>0</v>
      </c>
      <c r="L108" s="53">
        <v>0</v>
      </c>
      <c r="M108" s="43"/>
      <c r="N108" s="53">
        <v>0</v>
      </c>
      <c r="O108" s="53">
        <v>0</v>
      </c>
      <c r="P108" s="53">
        <v>0</v>
      </c>
      <c r="Q108" s="53">
        <v>22824.400000000001</v>
      </c>
    </row>
    <row r="109" spans="1:17" ht="26.45">
      <c r="A109" s="44">
        <v>2024</v>
      </c>
      <c r="B109" s="46" t="s">
        <v>1411</v>
      </c>
      <c r="C109" s="46" t="s">
        <v>9005</v>
      </c>
      <c r="D109" s="44" t="s">
        <v>151</v>
      </c>
      <c r="E109" s="45" t="s">
        <v>711</v>
      </c>
      <c r="F109" s="54">
        <v>1693.83</v>
      </c>
      <c r="G109" s="54">
        <v>1490.95</v>
      </c>
      <c r="H109" s="54">
        <v>0</v>
      </c>
      <c r="I109" s="54">
        <v>0</v>
      </c>
      <c r="J109" s="54">
        <v>0</v>
      </c>
      <c r="K109" s="54">
        <v>0</v>
      </c>
      <c r="L109" s="54">
        <v>0</v>
      </c>
      <c r="M109" s="43"/>
      <c r="N109" s="54">
        <v>0</v>
      </c>
      <c r="O109" s="54">
        <v>0</v>
      </c>
      <c r="P109" s="54">
        <v>0</v>
      </c>
      <c r="Q109" s="54">
        <v>3184.78</v>
      </c>
    </row>
    <row r="110" spans="1:17" ht="26.45">
      <c r="A110" s="47">
        <v>2024</v>
      </c>
      <c r="B110" s="50" t="s">
        <v>1411</v>
      </c>
      <c r="C110" s="50" t="s">
        <v>9005</v>
      </c>
      <c r="D110" s="47" t="s">
        <v>152</v>
      </c>
      <c r="E110" s="48" t="s">
        <v>712</v>
      </c>
      <c r="F110" s="53">
        <v>896.8</v>
      </c>
      <c r="G110" s="53">
        <v>0</v>
      </c>
      <c r="H110" s="53">
        <v>0</v>
      </c>
      <c r="I110" s="53">
        <v>0</v>
      </c>
      <c r="J110" s="53">
        <v>0</v>
      </c>
      <c r="K110" s="53">
        <v>0</v>
      </c>
      <c r="L110" s="53">
        <v>-896.8</v>
      </c>
      <c r="M110" s="43"/>
      <c r="N110" s="53">
        <v>0</v>
      </c>
      <c r="O110" s="53">
        <v>0</v>
      </c>
      <c r="P110" s="53">
        <v>0</v>
      </c>
      <c r="Q110" s="53">
        <v>0</v>
      </c>
    </row>
    <row r="111" spans="1:17" ht="26.45">
      <c r="A111" s="44">
        <v>2024</v>
      </c>
      <c r="B111" s="46" t="s">
        <v>1411</v>
      </c>
      <c r="C111" s="46" t="s">
        <v>9005</v>
      </c>
      <c r="D111" s="44" t="s">
        <v>153</v>
      </c>
      <c r="E111" s="45" t="s">
        <v>717</v>
      </c>
      <c r="F111" s="54">
        <v>1760.16</v>
      </c>
      <c r="G111" s="54">
        <v>0</v>
      </c>
      <c r="H111" s="54">
        <v>0</v>
      </c>
      <c r="I111" s="54">
        <v>0</v>
      </c>
      <c r="J111" s="54">
        <v>0</v>
      </c>
      <c r="K111" s="54">
        <v>0</v>
      </c>
      <c r="L111" s="54">
        <v>0</v>
      </c>
      <c r="M111" s="43"/>
      <c r="N111" s="54">
        <v>0</v>
      </c>
      <c r="O111" s="54">
        <v>0</v>
      </c>
      <c r="P111" s="54">
        <v>0</v>
      </c>
      <c r="Q111" s="54">
        <v>1760.16</v>
      </c>
    </row>
    <row r="112" spans="1:17" ht="39.6">
      <c r="A112" s="47">
        <v>2024</v>
      </c>
      <c r="B112" s="50" t="s">
        <v>1411</v>
      </c>
      <c r="C112" s="50" t="s">
        <v>9005</v>
      </c>
      <c r="D112" s="47" t="s">
        <v>154</v>
      </c>
      <c r="E112" s="48" t="s">
        <v>718</v>
      </c>
      <c r="F112" s="53">
        <v>572.96</v>
      </c>
      <c r="G112" s="53">
        <v>0</v>
      </c>
      <c r="H112" s="53">
        <v>0</v>
      </c>
      <c r="I112" s="53">
        <v>0</v>
      </c>
      <c r="J112" s="53">
        <v>0</v>
      </c>
      <c r="K112" s="53">
        <v>0</v>
      </c>
      <c r="L112" s="53">
        <v>0</v>
      </c>
      <c r="M112" s="43"/>
      <c r="N112" s="53">
        <v>0</v>
      </c>
      <c r="O112" s="53">
        <v>0</v>
      </c>
      <c r="P112" s="53">
        <v>0</v>
      </c>
      <c r="Q112" s="53">
        <v>572.96</v>
      </c>
    </row>
    <row r="113" spans="1:17" ht="26.45">
      <c r="A113" s="44">
        <v>2024</v>
      </c>
      <c r="B113" s="46" t="s">
        <v>1411</v>
      </c>
      <c r="C113" s="46" t="s">
        <v>9005</v>
      </c>
      <c r="D113" s="44" t="s">
        <v>155</v>
      </c>
      <c r="E113" s="45" t="s">
        <v>723</v>
      </c>
      <c r="F113" s="54">
        <v>355.87</v>
      </c>
      <c r="G113" s="54">
        <v>0</v>
      </c>
      <c r="H113" s="54">
        <v>0</v>
      </c>
      <c r="I113" s="54">
        <v>0</v>
      </c>
      <c r="J113" s="54">
        <v>0</v>
      </c>
      <c r="K113" s="54">
        <v>0</v>
      </c>
      <c r="L113" s="54">
        <v>-355.87</v>
      </c>
      <c r="M113" s="43"/>
      <c r="N113" s="54">
        <v>0</v>
      </c>
      <c r="O113" s="54">
        <v>0</v>
      </c>
      <c r="P113" s="54">
        <v>0</v>
      </c>
      <c r="Q113" s="54">
        <v>0</v>
      </c>
    </row>
    <row r="114" spans="1:17" ht="26.45">
      <c r="A114" s="44">
        <v>2024</v>
      </c>
      <c r="B114" s="46" t="s">
        <v>1411</v>
      </c>
      <c r="C114" s="46" t="s">
        <v>9005</v>
      </c>
      <c r="D114" s="44" t="s">
        <v>156</v>
      </c>
      <c r="E114" s="45" t="s">
        <v>726</v>
      </c>
      <c r="F114" s="54">
        <v>141.99</v>
      </c>
      <c r="G114" s="54">
        <v>0</v>
      </c>
      <c r="H114" s="54">
        <v>0</v>
      </c>
      <c r="I114" s="54">
        <v>0</v>
      </c>
      <c r="J114" s="54">
        <v>0</v>
      </c>
      <c r="K114" s="54">
        <v>0</v>
      </c>
      <c r="L114" s="54">
        <v>-141.99</v>
      </c>
      <c r="M114" s="43"/>
      <c r="N114" s="54">
        <v>0</v>
      </c>
      <c r="O114" s="54">
        <v>0</v>
      </c>
      <c r="P114" s="54">
        <v>0</v>
      </c>
      <c r="Q114" s="54">
        <v>0</v>
      </c>
    </row>
    <row r="115" spans="1:17" ht="26.45">
      <c r="A115" s="47">
        <v>2024</v>
      </c>
      <c r="B115" s="50" t="s">
        <v>1411</v>
      </c>
      <c r="C115" s="50" t="s">
        <v>9005</v>
      </c>
      <c r="D115" s="47" t="s">
        <v>157</v>
      </c>
      <c r="E115" s="48" t="s">
        <v>727</v>
      </c>
      <c r="F115" s="53">
        <v>17644.830000000002</v>
      </c>
      <c r="G115" s="53">
        <v>6774.32</v>
      </c>
      <c r="H115" s="53">
        <v>0</v>
      </c>
      <c r="I115" s="53">
        <v>0</v>
      </c>
      <c r="J115" s="53">
        <v>0</v>
      </c>
      <c r="K115" s="53">
        <v>0</v>
      </c>
      <c r="L115" s="53">
        <v>0</v>
      </c>
      <c r="M115" s="43"/>
      <c r="N115" s="53">
        <v>0</v>
      </c>
      <c r="O115" s="53">
        <v>0</v>
      </c>
      <c r="P115" s="53">
        <v>0</v>
      </c>
      <c r="Q115" s="53">
        <v>24419.15</v>
      </c>
    </row>
    <row r="116" spans="1:17" ht="26.45">
      <c r="A116" s="47">
        <v>2024</v>
      </c>
      <c r="B116" s="50" t="s">
        <v>1411</v>
      </c>
      <c r="C116" s="50" t="s">
        <v>9005</v>
      </c>
      <c r="D116" s="47" t="s">
        <v>158</v>
      </c>
      <c r="E116" s="48" t="s">
        <v>734</v>
      </c>
      <c r="F116" s="53">
        <v>895.49</v>
      </c>
      <c r="G116" s="53">
        <v>0</v>
      </c>
      <c r="H116" s="53">
        <v>0</v>
      </c>
      <c r="I116" s="53">
        <v>0</v>
      </c>
      <c r="J116" s="53">
        <v>0</v>
      </c>
      <c r="K116" s="53">
        <v>0</v>
      </c>
      <c r="L116" s="53">
        <v>0</v>
      </c>
      <c r="M116" s="43"/>
      <c r="N116" s="53">
        <v>0</v>
      </c>
      <c r="O116" s="53">
        <v>0</v>
      </c>
      <c r="P116" s="53">
        <v>0</v>
      </c>
      <c r="Q116" s="53">
        <v>895.49</v>
      </c>
    </row>
    <row r="117" spans="1:17" ht="26.45">
      <c r="A117" s="44">
        <v>2024</v>
      </c>
      <c r="B117" s="46" t="s">
        <v>1411</v>
      </c>
      <c r="C117" s="46" t="s">
        <v>9005</v>
      </c>
      <c r="D117" s="44" t="s">
        <v>159</v>
      </c>
      <c r="E117" s="45" t="s">
        <v>735</v>
      </c>
      <c r="F117" s="54">
        <v>359.59</v>
      </c>
      <c r="G117" s="54">
        <v>0</v>
      </c>
      <c r="H117" s="54">
        <v>0</v>
      </c>
      <c r="I117" s="54">
        <v>0</v>
      </c>
      <c r="J117" s="54">
        <v>0</v>
      </c>
      <c r="K117" s="54">
        <v>0</v>
      </c>
      <c r="L117" s="54">
        <v>0</v>
      </c>
      <c r="M117" s="43"/>
      <c r="N117" s="54">
        <v>0</v>
      </c>
      <c r="O117" s="54">
        <v>0</v>
      </c>
      <c r="P117" s="54">
        <v>0</v>
      </c>
      <c r="Q117" s="54">
        <v>359.59</v>
      </c>
    </row>
    <row r="118" spans="1:17" ht="26.45">
      <c r="A118" s="47">
        <v>2024</v>
      </c>
      <c r="B118" s="50" t="s">
        <v>1411</v>
      </c>
      <c r="C118" s="50" t="s">
        <v>9005</v>
      </c>
      <c r="D118" s="47" t="s">
        <v>160</v>
      </c>
      <c r="E118" s="48" t="s">
        <v>736</v>
      </c>
      <c r="F118" s="53">
        <v>483.94</v>
      </c>
      <c r="G118" s="53">
        <v>0</v>
      </c>
      <c r="H118" s="53">
        <v>0</v>
      </c>
      <c r="I118" s="53">
        <v>0</v>
      </c>
      <c r="J118" s="53">
        <v>0</v>
      </c>
      <c r="K118" s="53">
        <v>0</v>
      </c>
      <c r="L118" s="53">
        <v>0</v>
      </c>
      <c r="M118" s="43"/>
      <c r="N118" s="53">
        <v>0</v>
      </c>
      <c r="O118" s="53">
        <v>0</v>
      </c>
      <c r="P118" s="53">
        <v>0</v>
      </c>
      <c r="Q118" s="53">
        <v>483.94</v>
      </c>
    </row>
    <row r="119" spans="1:17" ht="26.45">
      <c r="A119" s="44">
        <v>2024</v>
      </c>
      <c r="B119" s="46" t="s">
        <v>1411</v>
      </c>
      <c r="C119" s="46" t="s">
        <v>9005</v>
      </c>
      <c r="D119" s="44" t="s">
        <v>161</v>
      </c>
      <c r="E119" s="45" t="s">
        <v>737</v>
      </c>
      <c r="F119" s="54">
        <v>3370.49</v>
      </c>
      <c r="G119" s="54">
        <v>723.85</v>
      </c>
      <c r="H119" s="54">
        <v>0</v>
      </c>
      <c r="I119" s="54">
        <v>0</v>
      </c>
      <c r="J119" s="54">
        <v>0</v>
      </c>
      <c r="K119" s="54">
        <v>0</v>
      </c>
      <c r="L119" s="54">
        <v>0</v>
      </c>
      <c r="M119" s="43"/>
      <c r="N119" s="54">
        <v>0</v>
      </c>
      <c r="O119" s="54">
        <v>0</v>
      </c>
      <c r="P119" s="54">
        <v>0</v>
      </c>
      <c r="Q119" s="54">
        <v>4094.34</v>
      </c>
    </row>
    <row r="120" spans="1:17" ht="26.45">
      <c r="A120" s="47">
        <v>2024</v>
      </c>
      <c r="B120" s="50" t="s">
        <v>1411</v>
      </c>
      <c r="C120" s="50" t="s">
        <v>9005</v>
      </c>
      <c r="D120" s="47" t="s">
        <v>162</v>
      </c>
      <c r="E120" s="48" t="s">
        <v>738</v>
      </c>
      <c r="F120" s="53">
        <v>16743.7</v>
      </c>
      <c r="G120" s="53">
        <v>6068.24</v>
      </c>
      <c r="H120" s="53">
        <v>0</v>
      </c>
      <c r="I120" s="53">
        <v>0</v>
      </c>
      <c r="J120" s="53">
        <v>0</v>
      </c>
      <c r="K120" s="53">
        <v>0</v>
      </c>
      <c r="L120" s="53">
        <v>0</v>
      </c>
      <c r="M120" s="43"/>
      <c r="N120" s="53">
        <v>0</v>
      </c>
      <c r="O120" s="53">
        <v>0</v>
      </c>
      <c r="P120" s="53">
        <v>0</v>
      </c>
      <c r="Q120" s="53">
        <v>22811.94</v>
      </c>
    </row>
    <row r="121" spans="1:17" ht="26.45">
      <c r="A121" s="47">
        <v>2024</v>
      </c>
      <c r="B121" s="50" t="s">
        <v>1411</v>
      </c>
      <c r="C121" s="50" t="s">
        <v>9005</v>
      </c>
      <c r="D121" s="47" t="s">
        <v>163</v>
      </c>
      <c r="E121" s="48" t="s">
        <v>745</v>
      </c>
      <c r="F121" s="53">
        <v>14504.03</v>
      </c>
      <c r="G121" s="53">
        <v>0</v>
      </c>
      <c r="H121" s="53">
        <v>0</v>
      </c>
      <c r="I121" s="53">
        <v>0</v>
      </c>
      <c r="J121" s="53">
        <v>0</v>
      </c>
      <c r="K121" s="53">
        <v>0</v>
      </c>
      <c r="L121" s="53">
        <v>0</v>
      </c>
      <c r="M121" s="43"/>
      <c r="N121" s="53">
        <v>0</v>
      </c>
      <c r="O121" s="53">
        <v>0</v>
      </c>
      <c r="P121" s="53">
        <v>0</v>
      </c>
      <c r="Q121" s="53">
        <v>14504.03</v>
      </c>
    </row>
    <row r="122" spans="1:17" ht="26.45">
      <c r="A122" s="44">
        <v>2024</v>
      </c>
      <c r="B122" s="46" t="s">
        <v>1411</v>
      </c>
      <c r="C122" s="46" t="s">
        <v>9005</v>
      </c>
      <c r="D122" s="44" t="s">
        <v>164</v>
      </c>
      <c r="E122" s="45" t="s">
        <v>746</v>
      </c>
      <c r="F122" s="54">
        <v>354.73</v>
      </c>
      <c r="G122" s="54">
        <v>0</v>
      </c>
      <c r="H122" s="54">
        <v>0</v>
      </c>
      <c r="I122" s="54">
        <v>0</v>
      </c>
      <c r="J122" s="54">
        <v>0</v>
      </c>
      <c r="K122" s="54">
        <v>0</v>
      </c>
      <c r="L122" s="54">
        <v>0</v>
      </c>
      <c r="M122" s="43"/>
      <c r="N122" s="54">
        <v>0</v>
      </c>
      <c r="O122" s="54">
        <v>0</v>
      </c>
      <c r="P122" s="54">
        <v>0</v>
      </c>
      <c r="Q122" s="54">
        <v>354.73</v>
      </c>
    </row>
    <row r="123" spans="1:17" ht="26.45">
      <c r="A123" s="44">
        <v>2024</v>
      </c>
      <c r="B123" s="46" t="s">
        <v>1411</v>
      </c>
      <c r="C123" s="46" t="s">
        <v>9005</v>
      </c>
      <c r="D123" s="44" t="s">
        <v>165</v>
      </c>
      <c r="E123" s="45" t="s">
        <v>753</v>
      </c>
      <c r="F123" s="54">
        <v>22652.35</v>
      </c>
      <c r="G123" s="54">
        <v>1954.64</v>
      </c>
      <c r="H123" s="54">
        <v>0</v>
      </c>
      <c r="I123" s="54">
        <v>0</v>
      </c>
      <c r="J123" s="54">
        <v>0</v>
      </c>
      <c r="K123" s="54">
        <v>0</v>
      </c>
      <c r="L123" s="54">
        <v>0</v>
      </c>
      <c r="M123" s="43"/>
      <c r="N123" s="54">
        <v>0</v>
      </c>
      <c r="O123" s="54">
        <v>0</v>
      </c>
      <c r="P123" s="54">
        <v>0</v>
      </c>
      <c r="Q123" s="54">
        <v>24606.99</v>
      </c>
    </row>
    <row r="124" spans="1:17" ht="26.45">
      <c r="A124" s="47">
        <v>2024</v>
      </c>
      <c r="B124" s="50" t="s">
        <v>1411</v>
      </c>
      <c r="C124" s="50" t="s">
        <v>9005</v>
      </c>
      <c r="D124" s="47" t="s">
        <v>166</v>
      </c>
      <c r="E124" s="48" t="s">
        <v>754</v>
      </c>
      <c r="F124" s="53">
        <v>59341.34</v>
      </c>
      <c r="G124" s="53">
        <v>52353.32</v>
      </c>
      <c r="H124" s="53">
        <v>0</v>
      </c>
      <c r="I124" s="53">
        <v>0</v>
      </c>
      <c r="J124" s="53">
        <v>0</v>
      </c>
      <c r="K124" s="53">
        <v>0</v>
      </c>
      <c r="L124" s="53">
        <v>0</v>
      </c>
      <c r="M124" s="43"/>
      <c r="N124" s="53">
        <v>0</v>
      </c>
      <c r="O124" s="53">
        <v>0</v>
      </c>
      <c r="P124" s="53">
        <v>0</v>
      </c>
      <c r="Q124" s="53">
        <v>111694.66</v>
      </c>
    </row>
    <row r="125" spans="1:17" ht="26.45">
      <c r="A125" s="44">
        <v>2024</v>
      </c>
      <c r="B125" s="46" t="s">
        <v>1411</v>
      </c>
      <c r="C125" s="46" t="s">
        <v>9005</v>
      </c>
      <c r="D125" s="44" t="s">
        <v>167</v>
      </c>
      <c r="E125" s="45" t="s">
        <v>755</v>
      </c>
      <c r="F125" s="54">
        <v>1077.77</v>
      </c>
      <c r="G125" s="54">
        <v>0</v>
      </c>
      <c r="H125" s="54">
        <v>0</v>
      </c>
      <c r="I125" s="54">
        <v>0</v>
      </c>
      <c r="J125" s="54">
        <v>0</v>
      </c>
      <c r="K125" s="54">
        <v>0</v>
      </c>
      <c r="L125" s="54">
        <v>0</v>
      </c>
      <c r="M125" s="43"/>
      <c r="N125" s="54">
        <v>0</v>
      </c>
      <c r="O125" s="54">
        <v>0</v>
      </c>
      <c r="P125" s="54">
        <v>0</v>
      </c>
      <c r="Q125" s="54">
        <v>1077.77</v>
      </c>
    </row>
    <row r="126" spans="1:17" ht="52.9">
      <c r="A126" s="44">
        <v>2024</v>
      </c>
      <c r="B126" s="46" t="s">
        <v>1411</v>
      </c>
      <c r="C126" s="46" t="s">
        <v>9005</v>
      </c>
      <c r="D126" s="44" t="s">
        <v>168</v>
      </c>
      <c r="E126" s="45" t="s">
        <v>758</v>
      </c>
      <c r="F126" s="54">
        <v>1270.52</v>
      </c>
      <c r="G126" s="54">
        <v>0</v>
      </c>
      <c r="H126" s="54">
        <v>0</v>
      </c>
      <c r="I126" s="54">
        <v>0</v>
      </c>
      <c r="J126" s="54">
        <v>0</v>
      </c>
      <c r="K126" s="54">
        <v>0</v>
      </c>
      <c r="L126" s="54">
        <v>0</v>
      </c>
      <c r="M126" s="43"/>
      <c r="N126" s="54">
        <v>0</v>
      </c>
      <c r="O126" s="54">
        <v>0</v>
      </c>
      <c r="P126" s="54">
        <v>0</v>
      </c>
      <c r="Q126" s="54">
        <v>1270.52</v>
      </c>
    </row>
    <row r="127" spans="1:17" ht="52.9">
      <c r="A127" s="47">
        <v>2024</v>
      </c>
      <c r="B127" s="50" t="s">
        <v>1411</v>
      </c>
      <c r="C127" s="50" t="s">
        <v>9005</v>
      </c>
      <c r="D127" s="47" t="s">
        <v>169</v>
      </c>
      <c r="E127" s="48" t="s">
        <v>761</v>
      </c>
      <c r="F127" s="53">
        <v>920.88</v>
      </c>
      <c r="G127" s="53">
        <v>1800.77</v>
      </c>
      <c r="H127" s="53">
        <v>0</v>
      </c>
      <c r="I127" s="53">
        <v>0</v>
      </c>
      <c r="J127" s="53">
        <v>0</v>
      </c>
      <c r="K127" s="53">
        <v>0</v>
      </c>
      <c r="L127" s="53">
        <v>-690.89</v>
      </c>
      <c r="M127" s="43"/>
      <c r="N127" s="53">
        <v>0</v>
      </c>
      <c r="O127" s="53">
        <v>-836.87</v>
      </c>
      <c r="P127" s="53">
        <v>0</v>
      </c>
      <c r="Q127" s="53">
        <v>1193.8900000000001</v>
      </c>
    </row>
    <row r="128" spans="1:17" ht="52.9">
      <c r="A128" s="44">
        <v>2024</v>
      </c>
      <c r="B128" s="46" t="s">
        <v>1411</v>
      </c>
      <c r="C128" s="46" t="s">
        <v>9005</v>
      </c>
      <c r="D128" s="44" t="s">
        <v>170</v>
      </c>
      <c r="E128" s="45" t="s">
        <v>759</v>
      </c>
      <c r="F128" s="54">
        <v>501.76</v>
      </c>
      <c r="G128" s="54">
        <v>0</v>
      </c>
      <c r="H128" s="54">
        <v>0</v>
      </c>
      <c r="I128" s="54">
        <v>0</v>
      </c>
      <c r="J128" s="54">
        <v>0</v>
      </c>
      <c r="K128" s="54">
        <v>0</v>
      </c>
      <c r="L128" s="54">
        <v>-501.76</v>
      </c>
      <c r="M128" s="43"/>
      <c r="N128" s="54">
        <v>0</v>
      </c>
      <c r="O128" s="54">
        <v>0</v>
      </c>
      <c r="P128" s="54">
        <v>0</v>
      </c>
      <c r="Q128" s="54">
        <v>0</v>
      </c>
    </row>
    <row r="129" spans="1:17" ht="52.9">
      <c r="A129" s="47">
        <v>2024</v>
      </c>
      <c r="B129" s="50" t="s">
        <v>1411</v>
      </c>
      <c r="C129" s="50" t="s">
        <v>9005</v>
      </c>
      <c r="D129" s="47" t="s">
        <v>171</v>
      </c>
      <c r="E129" s="48" t="s">
        <v>760</v>
      </c>
      <c r="F129" s="53">
        <v>561</v>
      </c>
      <c r="G129" s="53">
        <v>0</v>
      </c>
      <c r="H129" s="53">
        <v>0</v>
      </c>
      <c r="I129" s="53">
        <v>0</v>
      </c>
      <c r="J129" s="53">
        <v>0</v>
      </c>
      <c r="K129" s="53">
        <v>0</v>
      </c>
      <c r="L129" s="53">
        <v>-561</v>
      </c>
      <c r="M129" s="43"/>
      <c r="N129" s="53">
        <v>0</v>
      </c>
      <c r="O129" s="53">
        <v>0</v>
      </c>
      <c r="P129" s="53">
        <v>0</v>
      </c>
      <c r="Q129" s="53">
        <v>0</v>
      </c>
    </row>
    <row r="130" spans="1:17" ht="52.9">
      <c r="A130" s="47">
        <v>2024</v>
      </c>
      <c r="B130" s="50" t="s">
        <v>1411</v>
      </c>
      <c r="C130" s="50" t="s">
        <v>9005</v>
      </c>
      <c r="D130" s="47" t="s">
        <v>172</v>
      </c>
      <c r="E130" s="48" t="s">
        <v>764</v>
      </c>
      <c r="F130" s="53">
        <v>332.04</v>
      </c>
      <c r="G130" s="53">
        <v>0</v>
      </c>
      <c r="H130" s="53">
        <v>0</v>
      </c>
      <c r="I130" s="53">
        <v>0</v>
      </c>
      <c r="J130" s="53">
        <v>0</v>
      </c>
      <c r="K130" s="53">
        <v>0</v>
      </c>
      <c r="L130" s="53">
        <v>-332.04</v>
      </c>
      <c r="M130" s="43"/>
      <c r="N130" s="53">
        <v>0</v>
      </c>
      <c r="O130" s="53">
        <v>0</v>
      </c>
      <c r="P130" s="53">
        <v>0</v>
      </c>
      <c r="Q130" s="53">
        <v>0</v>
      </c>
    </row>
    <row r="131" spans="1:17" ht="26.45">
      <c r="A131" s="47">
        <v>2024</v>
      </c>
      <c r="B131" s="50" t="s">
        <v>1411</v>
      </c>
      <c r="C131" s="50" t="s">
        <v>9005</v>
      </c>
      <c r="D131" s="47" t="s">
        <v>173</v>
      </c>
      <c r="E131" s="48" t="s">
        <v>767</v>
      </c>
      <c r="F131" s="53">
        <v>169935.4</v>
      </c>
      <c r="G131" s="53">
        <v>145852.54999999999</v>
      </c>
      <c r="H131" s="53">
        <v>0</v>
      </c>
      <c r="I131" s="53">
        <v>0</v>
      </c>
      <c r="J131" s="53">
        <v>0</v>
      </c>
      <c r="K131" s="53">
        <v>0</v>
      </c>
      <c r="L131" s="53">
        <v>0</v>
      </c>
      <c r="M131" s="43"/>
      <c r="N131" s="53">
        <v>0</v>
      </c>
      <c r="O131" s="53">
        <v>0</v>
      </c>
      <c r="P131" s="53">
        <v>0</v>
      </c>
      <c r="Q131" s="53">
        <v>315787.95</v>
      </c>
    </row>
    <row r="132" spans="1:17" ht="26.45">
      <c r="A132" s="44">
        <v>2024</v>
      </c>
      <c r="B132" s="46" t="s">
        <v>1411</v>
      </c>
      <c r="C132" s="46" t="s">
        <v>9005</v>
      </c>
      <c r="D132" s="44" t="s">
        <v>174</v>
      </c>
      <c r="E132" s="45" t="s">
        <v>768</v>
      </c>
      <c r="F132" s="54">
        <v>880.16</v>
      </c>
      <c r="G132" s="54">
        <v>777.54</v>
      </c>
      <c r="H132" s="54">
        <v>0</v>
      </c>
      <c r="I132" s="54">
        <v>0</v>
      </c>
      <c r="J132" s="54">
        <v>0</v>
      </c>
      <c r="K132" s="54">
        <v>0</v>
      </c>
      <c r="L132" s="54">
        <v>0</v>
      </c>
      <c r="M132" s="43"/>
      <c r="N132" s="54">
        <v>0</v>
      </c>
      <c r="O132" s="54">
        <v>0</v>
      </c>
      <c r="P132" s="54">
        <v>0</v>
      </c>
      <c r="Q132" s="54">
        <v>1657.7</v>
      </c>
    </row>
    <row r="133" spans="1:17" ht="26.45">
      <c r="A133" s="44">
        <v>2024</v>
      </c>
      <c r="B133" s="46" t="s">
        <v>1411</v>
      </c>
      <c r="C133" s="46" t="s">
        <v>9005</v>
      </c>
      <c r="D133" s="44" t="s">
        <v>175</v>
      </c>
      <c r="E133" s="45" t="s">
        <v>771</v>
      </c>
      <c r="F133" s="54">
        <v>365.8</v>
      </c>
      <c r="G133" s="54">
        <v>0</v>
      </c>
      <c r="H133" s="54">
        <v>0</v>
      </c>
      <c r="I133" s="54">
        <v>0</v>
      </c>
      <c r="J133" s="54">
        <v>0</v>
      </c>
      <c r="K133" s="54">
        <v>0</v>
      </c>
      <c r="L133" s="54">
        <v>0</v>
      </c>
      <c r="M133" s="43"/>
      <c r="N133" s="54">
        <v>0</v>
      </c>
      <c r="O133" s="54">
        <v>0</v>
      </c>
      <c r="P133" s="54">
        <v>0</v>
      </c>
      <c r="Q133" s="54">
        <v>365.8</v>
      </c>
    </row>
    <row r="134" spans="1:17" ht="26.45">
      <c r="A134" s="47">
        <v>2024</v>
      </c>
      <c r="B134" s="50" t="s">
        <v>1411</v>
      </c>
      <c r="C134" s="50" t="s">
        <v>9005</v>
      </c>
      <c r="D134" s="47" t="s">
        <v>176</v>
      </c>
      <c r="E134" s="48" t="s">
        <v>772</v>
      </c>
      <c r="F134" s="53">
        <v>911.86</v>
      </c>
      <c r="G134" s="53">
        <v>0</v>
      </c>
      <c r="H134" s="53">
        <v>0</v>
      </c>
      <c r="I134" s="53">
        <v>0</v>
      </c>
      <c r="J134" s="53">
        <v>0</v>
      </c>
      <c r="K134" s="53">
        <v>0</v>
      </c>
      <c r="L134" s="53">
        <v>0</v>
      </c>
      <c r="M134" s="43"/>
      <c r="N134" s="53">
        <v>0</v>
      </c>
      <c r="O134" s="53">
        <v>0</v>
      </c>
      <c r="P134" s="53">
        <v>0</v>
      </c>
      <c r="Q134" s="53">
        <v>911.86</v>
      </c>
    </row>
    <row r="135" spans="1:17" ht="26.45">
      <c r="A135" s="44">
        <v>2024</v>
      </c>
      <c r="B135" s="46" t="s">
        <v>1411</v>
      </c>
      <c r="C135" s="46" t="s">
        <v>9005</v>
      </c>
      <c r="D135" s="44" t="s">
        <v>177</v>
      </c>
      <c r="E135" s="45" t="s">
        <v>773</v>
      </c>
      <c r="F135" s="54">
        <v>535.62</v>
      </c>
      <c r="G135" s="54">
        <v>687.59</v>
      </c>
      <c r="H135" s="54">
        <v>0</v>
      </c>
      <c r="I135" s="54">
        <v>0</v>
      </c>
      <c r="J135" s="54">
        <v>0</v>
      </c>
      <c r="K135" s="54">
        <v>0</v>
      </c>
      <c r="L135" s="54">
        <v>0</v>
      </c>
      <c r="M135" s="43"/>
      <c r="N135" s="54">
        <v>0</v>
      </c>
      <c r="O135" s="54">
        <v>0</v>
      </c>
      <c r="P135" s="54">
        <v>0</v>
      </c>
      <c r="Q135" s="54">
        <v>1223.21</v>
      </c>
    </row>
    <row r="136" spans="1:17" ht="26.45">
      <c r="A136" s="47">
        <v>2024</v>
      </c>
      <c r="B136" s="50" t="s">
        <v>1411</v>
      </c>
      <c r="C136" s="50" t="s">
        <v>9005</v>
      </c>
      <c r="D136" s="47" t="s">
        <v>178</v>
      </c>
      <c r="E136" s="48" t="s">
        <v>774</v>
      </c>
      <c r="F136" s="53">
        <v>1293.46</v>
      </c>
      <c r="G136" s="53">
        <v>118.78</v>
      </c>
      <c r="H136" s="53">
        <v>0</v>
      </c>
      <c r="I136" s="53">
        <v>0</v>
      </c>
      <c r="J136" s="53">
        <v>0</v>
      </c>
      <c r="K136" s="53">
        <v>0</v>
      </c>
      <c r="L136" s="53">
        <v>0</v>
      </c>
      <c r="M136" s="43"/>
      <c r="N136" s="53">
        <v>0</v>
      </c>
      <c r="O136" s="53">
        <v>0</v>
      </c>
      <c r="P136" s="53">
        <v>0</v>
      </c>
      <c r="Q136" s="53">
        <v>1412.24</v>
      </c>
    </row>
    <row r="137" spans="1:17" ht="26.45">
      <c r="A137" s="44">
        <v>2024</v>
      </c>
      <c r="B137" s="46" t="s">
        <v>1411</v>
      </c>
      <c r="C137" s="46" t="s">
        <v>9005</v>
      </c>
      <c r="D137" s="44" t="s">
        <v>179</v>
      </c>
      <c r="E137" s="45" t="s">
        <v>775</v>
      </c>
      <c r="F137" s="54">
        <v>458.09</v>
      </c>
      <c r="G137" s="54">
        <v>0</v>
      </c>
      <c r="H137" s="54">
        <v>0</v>
      </c>
      <c r="I137" s="54">
        <v>0</v>
      </c>
      <c r="J137" s="54">
        <v>0</v>
      </c>
      <c r="K137" s="54">
        <v>0</v>
      </c>
      <c r="L137" s="54">
        <v>0</v>
      </c>
      <c r="M137" s="43"/>
      <c r="N137" s="54">
        <v>0</v>
      </c>
      <c r="O137" s="54">
        <v>0</v>
      </c>
      <c r="P137" s="54">
        <v>0</v>
      </c>
      <c r="Q137" s="54">
        <v>458.09</v>
      </c>
    </row>
    <row r="138" spans="1:17" ht="26.45">
      <c r="A138" s="47">
        <v>2024</v>
      </c>
      <c r="B138" s="50" t="s">
        <v>1411</v>
      </c>
      <c r="C138" s="50" t="s">
        <v>9005</v>
      </c>
      <c r="D138" s="47" t="s">
        <v>180</v>
      </c>
      <c r="E138" s="48" t="s">
        <v>776</v>
      </c>
      <c r="F138" s="53">
        <v>129.86000000000001</v>
      </c>
      <c r="G138" s="53">
        <v>0</v>
      </c>
      <c r="H138" s="53">
        <v>0</v>
      </c>
      <c r="I138" s="53">
        <v>0</v>
      </c>
      <c r="J138" s="53">
        <v>0</v>
      </c>
      <c r="K138" s="53">
        <v>0</v>
      </c>
      <c r="L138" s="53">
        <v>0</v>
      </c>
      <c r="M138" s="43"/>
      <c r="N138" s="53">
        <v>0</v>
      </c>
      <c r="O138" s="53">
        <v>0</v>
      </c>
      <c r="P138" s="53">
        <v>0</v>
      </c>
      <c r="Q138" s="53">
        <v>129.86000000000001</v>
      </c>
    </row>
    <row r="139" spans="1:17" ht="26.45">
      <c r="A139" s="44">
        <v>2024</v>
      </c>
      <c r="B139" s="46" t="s">
        <v>1411</v>
      </c>
      <c r="C139" s="46" t="s">
        <v>9005</v>
      </c>
      <c r="D139" s="44" t="s">
        <v>181</v>
      </c>
      <c r="E139" s="45" t="s">
        <v>777</v>
      </c>
      <c r="F139" s="54">
        <v>8766.7800000000007</v>
      </c>
      <c r="G139" s="54">
        <v>293.73</v>
      </c>
      <c r="H139" s="54">
        <v>0</v>
      </c>
      <c r="I139" s="54">
        <v>0</v>
      </c>
      <c r="J139" s="54">
        <v>0</v>
      </c>
      <c r="K139" s="54">
        <v>0</v>
      </c>
      <c r="L139" s="54">
        <v>0</v>
      </c>
      <c r="M139" s="43"/>
      <c r="N139" s="54">
        <v>0</v>
      </c>
      <c r="O139" s="54">
        <v>0</v>
      </c>
      <c r="P139" s="54">
        <v>0</v>
      </c>
      <c r="Q139" s="54">
        <v>9060.51</v>
      </c>
    </row>
    <row r="140" spans="1:17" ht="26.45">
      <c r="A140" s="47">
        <v>2024</v>
      </c>
      <c r="B140" s="50" t="s">
        <v>1411</v>
      </c>
      <c r="C140" s="50" t="s">
        <v>9005</v>
      </c>
      <c r="D140" s="47" t="s">
        <v>182</v>
      </c>
      <c r="E140" s="48" t="s">
        <v>778</v>
      </c>
      <c r="F140" s="53">
        <v>1337.68</v>
      </c>
      <c r="G140" s="53">
        <v>204.23</v>
      </c>
      <c r="H140" s="53">
        <v>0</v>
      </c>
      <c r="I140" s="53">
        <v>0</v>
      </c>
      <c r="J140" s="53">
        <v>0</v>
      </c>
      <c r="K140" s="53">
        <v>0</v>
      </c>
      <c r="L140" s="53">
        <v>0</v>
      </c>
      <c r="M140" s="43"/>
      <c r="N140" s="53">
        <v>0</v>
      </c>
      <c r="O140" s="53">
        <v>0</v>
      </c>
      <c r="P140" s="53">
        <v>0</v>
      </c>
      <c r="Q140" s="53">
        <v>1541.91</v>
      </c>
    </row>
    <row r="141" spans="1:17" ht="26.45">
      <c r="A141" s="44">
        <v>2024</v>
      </c>
      <c r="B141" s="46" t="s">
        <v>1411</v>
      </c>
      <c r="C141" s="46" t="s">
        <v>9005</v>
      </c>
      <c r="D141" s="44" t="s">
        <v>183</v>
      </c>
      <c r="E141" s="45" t="s">
        <v>779</v>
      </c>
      <c r="F141" s="54">
        <v>54691.03</v>
      </c>
      <c r="G141" s="54">
        <v>25355.09</v>
      </c>
      <c r="H141" s="54">
        <v>0</v>
      </c>
      <c r="I141" s="54">
        <v>0</v>
      </c>
      <c r="J141" s="54">
        <v>0</v>
      </c>
      <c r="K141" s="54">
        <v>0</v>
      </c>
      <c r="L141" s="54">
        <v>0</v>
      </c>
      <c r="M141" s="43"/>
      <c r="N141" s="54">
        <v>0</v>
      </c>
      <c r="O141" s="54">
        <v>0</v>
      </c>
      <c r="P141" s="54">
        <v>0</v>
      </c>
      <c r="Q141" s="54">
        <v>80046.12</v>
      </c>
    </row>
    <row r="142" spans="1:17" ht="26.45">
      <c r="A142" s="47">
        <v>2024</v>
      </c>
      <c r="B142" s="50" t="s">
        <v>1411</v>
      </c>
      <c r="C142" s="50" t="s">
        <v>9005</v>
      </c>
      <c r="D142" s="47" t="s">
        <v>184</v>
      </c>
      <c r="E142" s="48" t="s">
        <v>780</v>
      </c>
      <c r="F142" s="53">
        <v>270.94</v>
      </c>
      <c r="G142" s="53">
        <v>0</v>
      </c>
      <c r="H142" s="53">
        <v>0</v>
      </c>
      <c r="I142" s="53">
        <v>0</v>
      </c>
      <c r="J142" s="53">
        <v>0</v>
      </c>
      <c r="K142" s="53">
        <v>0</v>
      </c>
      <c r="L142" s="53">
        <v>-270.94</v>
      </c>
      <c r="M142" s="43"/>
      <c r="N142" s="53">
        <v>0</v>
      </c>
      <c r="O142" s="53">
        <v>0</v>
      </c>
      <c r="P142" s="53">
        <v>0</v>
      </c>
      <c r="Q142" s="53">
        <v>0</v>
      </c>
    </row>
    <row r="143" spans="1:17" ht="26.45">
      <c r="A143" s="44">
        <v>2024</v>
      </c>
      <c r="B143" s="46" t="s">
        <v>1411</v>
      </c>
      <c r="C143" s="46" t="s">
        <v>9005</v>
      </c>
      <c r="D143" s="44" t="s">
        <v>185</v>
      </c>
      <c r="E143" s="45" t="s">
        <v>781</v>
      </c>
      <c r="F143" s="54">
        <v>651.45000000000005</v>
      </c>
      <c r="G143" s="54">
        <v>0</v>
      </c>
      <c r="H143" s="54">
        <v>0</v>
      </c>
      <c r="I143" s="54">
        <v>0</v>
      </c>
      <c r="J143" s="54">
        <v>0</v>
      </c>
      <c r="K143" s="54">
        <v>0</v>
      </c>
      <c r="L143" s="54">
        <v>0</v>
      </c>
      <c r="M143" s="43"/>
      <c r="N143" s="54">
        <v>0</v>
      </c>
      <c r="O143" s="54">
        <v>0</v>
      </c>
      <c r="P143" s="54">
        <v>0</v>
      </c>
      <c r="Q143" s="54">
        <v>651.45000000000005</v>
      </c>
    </row>
    <row r="144" spans="1:17" ht="26.45">
      <c r="A144" s="47">
        <v>2024</v>
      </c>
      <c r="B144" s="50" t="s">
        <v>1411</v>
      </c>
      <c r="C144" s="50" t="s">
        <v>9005</v>
      </c>
      <c r="D144" s="47" t="s">
        <v>186</v>
      </c>
      <c r="E144" s="48" t="s">
        <v>782</v>
      </c>
      <c r="F144" s="53">
        <v>567.49</v>
      </c>
      <c r="G144" s="53">
        <v>0</v>
      </c>
      <c r="H144" s="53">
        <v>0</v>
      </c>
      <c r="I144" s="53">
        <v>0</v>
      </c>
      <c r="J144" s="53">
        <v>0</v>
      </c>
      <c r="K144" s="53">
        <v>0</v>
      </c>
      <c r="L144" s="53">
        <v>0</v>
      </c>
      <c r="M144" s="43"/>
      <c r="N144" s="53">
        <v>0</v>
      </c>
      <c r="O144" s="53">
        <v>0</v>
      </c>
      <c r="P144" s="53">
        <v>0</v>
      </c>
      <c r="Q144" s="53">
        <v>567.49</v>
      </c>
    </row>
    <row r="145" spans="1:17" ht="26.45">
      <c r="A145" s="44">
        <v>2024</v>
      </c>
      <c r="B145" s="46" t="s">
        <v>1411</v>
      </c>
      <c r="C145" s="46" t="s">
        <v>9005</v>
      </c>
      <c r="D145" s="44" t="s">
        <v>187</v>
      </c>
      <c r="E145" s="45" t="s">
        <v>783</v>
      </c>
      <c r="F145" s="54">
        <v>1465.98</v>
      </c>
      <c r="G145" s="54">
        <v>0</v>
      </c>
      <c r="H145" s="54">
        <v>0</v>
      </c>
      <c r="I145" s="54">
        <v>0</v>
      </c>
      <c r="J145" s="54">
        <v>0</v>
      </c>
      <c r="K145" s="54">
        <v>0</v>
      </c>
      <c r="L145" s="54">
        <v>0</v>
      </c>
      <c r="M145" s="43"/>
      <c r="N145" s="54">
        <v>0</v>
      </c>
      <c r="O145" s="54">
        <v>0</v>
      </c>
      <c r="P145" s="54">
        <v>0</v>
      </c>
      <c r="Q145" s="54">
        <v>1465.98</v>
      </c>
    </row>
    <row r="146" spans="1:17" ht="39.6">
      <c r="A146" s="47">
        <v>2024</v>
      </c>
      <c r="B146" s="50" t="s">
        <v>1411</v>
      </c>
      <c r="C146" s="50" t="s">
        <v>9005</v>
      </c>
      <c r="D146" s="47" t="s">
        <v>188</v>
      </c>
      <c r="E146" s="48" t="s">
        <v>784</v>
      </c>
      <c r="F146" s="53">
        <v>2899.43</v>
      </c>
      <c r="G146" s="53">
        <v>413.3</v>
      </c>
      <c r="H146" s="53">
        <v>0</v>
      </c>
      <c r="I146" s="53">
        <v>0</v>
      </c>
      <c r="J146" s="53">
        <v>0</v>
      </c>
      <c r="K146" s="53">
        <v>0</v>
      </c>
      <c r="L146" s="53">
        <v>0</v>
      </c>
      <c r="M146" s="43"/>
      <c r="N146" s="53">
        <v>0</v>
      </c>
      <c r="O146" s="53">
        <v>0</v>
      </c>
      <c r="P146" s="53">
        <v>0</v>
      </c>
      <c r="Q146" s="53">
        <v>3312.73</v>
      </c>
    </row>
    <row r="147" spans="1:17" ht="26.45">
      <c r="A147" s="44">
        <v>2024</v>
      </c>
      <c r="B147" s="46" t="s">
        <v>1411</v>
      </c>
      <c r="C147" s="46" t="s">
        <v>9005</v>
      </c>
      <c r="D147" s="44" t="s">
        <v>189</v>
      </c>
      <c r="E147" s="45" t="s">
        <v>785</v>
      </c>
      <c r="F147" s="54">
        <v>341.41</v>
      </c>
      <c r="G147" s="54">
        <v>0</v>
      </c>
      <c r="H147" s="54">
        <v>0</v>
      </c>
      <c r="I147" s="54">
        <v>0</v>
      </c>
      <c r="J147" s="54">
        <v>0</v>
      </c>
      <c r="K147" s="54">
        <v>0</v>
      </c>
      <c r="L147" s="54">
        <v>-341.41</v>
      </c>
      <c r="M147" s="43"/>
      <c r="N147" s="54">
        <v>0</v>
      </c>
      <c r="O147" s="54">
        <v>0</v>
      </c>
      <c r="P147" s="54">
        <v>0</v>
      </c>
      <c r="Q147" s="54">
        <v>0</v>
      </c>
    </row>
    <row r="148" spans="1:17" ht="26.45">
      <c r="A148" s="44">
        <v>2024</v>
      </c>
      <c r="B148" s="46" t="s">
        <v>1411</v>
      </c>
      <c r="C148" s="46" t="s">
        <v>9005</v>
      </c>
      <c r="D148" s="44" t="s">
        <v>190</v>
      </c>
      <c r="E148" s="45" t="s">
        <v>788</v>
      </c>
      <c r="F148" s="54">
        <v>639.21</v>
      </c>
      <c r="G148" s="54">
        <v>0</v>
      </c>
      <c r="H148" s="54">
        <v>0</v>
      </c>
      <c r="I148" s="54">
        <v>0</v>
      </c>
      <c r="J148" s="54">
        <v>0</v>
      </c>
      <c r="K148" s="54">
        <v>0</v>
      </c>
      <c r="L148" s="54">
        <v>-639.21</v>
      </c>
      <c r="M148" s="43"/>
      <c r="N148" s="54">
        <v>0</v>
      </c>
      <c r="O148" s="54">
        <v>0</v>
      </c>
      <c r="P148" s="54">
        <v>0</v>
      </c>
      <c r="Q148" s="54">
        <v>0</v>
      </c>
    </row>
    <row r="149" spans="1:17" ht="39.6">
      <c r="A149" s="47">
        <v>2024</v>
      </c>
      <c r="B149" s="50" t="s">
        <v>1411</v>
      </c>
      <c r="C149" s="50" t="s">
        <v>9005</v>
      </c>
      <c r="D149" s="47" t="s">
        <v>191</v>
      </c>
      <c r="E149" s="48" t="s">
        <v>789</v>
      </c>
      <c r="F149" s="53">
        <v>912.51</v>
      </c>
      <c r="G149" s="53">
        <v>841.33</v>
      </c>
      <c r="H149" s="53">
        <v>0</v>
      </c>
      <c r="I149" s="53">
        <v>0</v>
      </c>
      <c r="J149" s="53">
        <v>0</v>
      </c>
      <c r="K149" s="53">
        <v>0</v>
      </c>
      <c r="L149" s="53">
        <v>0</v>
      </c>
      <c r="M149" s="43"/>
      <c r="N149" s="53">
        <v>0</v>
      </c>
      <c r="O149" s="53">
        <v>0</v>
      </c>
      <c r="P149" s="53">
        <v>0</v>
      </c>
      <c r="Q149" s="53">
        <v>1753.84</v>
      </c>
    </row>
    <row r="150" spans="1:17" ht="26.45">
      <c r="A150" s="47">
        <v>2024</v>
      </c>
      <c r="B150" s="50" t="s">
        <v>1411</v>
      </c>
      <c r="C150" s="50" t="s">
        <v>9005</v>
      </c>
      <c r="D150" s="47" t="s">
        <v>192</v>
      </c>
      <c r="E150" s="48" t="s">
        <v>792</v>
      </c>
      <c r="F150" s="53">
        <v>1012.23</v>
      </c>
      <c r="G150" s="53">
        <v>0</v>
      </c>
      <c r="H150" s="53">
        <v>0</v>
      </c>
      <c r="I150" s="53">
        <v>0</v>
      </c>
      <c r="J150" s="53">
        <v>0</v>
      </c>
      <c r="K150" s="53">
        <v>0</v>
      </c>
      <c r="L150" s="53">
        <v>0</v>
      </c>
      <c r="M150" s="43"/>
      <c r="N150" s="53">
        <v>0</v>
      </c>
      <c r="O150" s="53">
        <v>0</v>
      </c>
      <c r="P150" s="53">
        <v>0</v>
      </c>
      <c r="Q150" s="53">
        <v>1012.23</v>
      </c>
    </row>
    <row r="151" spans="1:17" ht="26.45">
      <c r="A151" s="44">
        <v>2024</v>
      </c>
      <c r="B151" s="46" t="s">
        <v>1411</v>
      </c>
      <c r="C151" s="46" t="s">
        <v>9005</v>
      </c>
      <c r="D151" s="44" t="s">
        <v>193</v>
      </c>
      <c r="E151" s="45" t="s">
        <v>793</v>
      </c>
      <c r="F151" s="54">
        <v>451.69</v>
      </c>
      <c r="G151" s="54">
        <v>518.85</v>
      </c>
      <c r="H151" s="54">
        <v>0</v>
      </c>
      <c r="I151" s="54">
        <v>0</v>
      </c>
      <c r="J151" s="54">
        <v>0</v>
      </c>
      <c r="K151" s="54">
        <v>0</v>
      </c>
      <c r="L151" s="54">
        <v>0</v>
      </c>
      <c r="M151" s="43"/>
      <c r="N151" s="54">
        <v>0</v>
      </c>
      <c r="O151" s="54">
        <v>0</v>
      </c>
      <c r="P151" s="54">
        <v>0</v>
      </c>
      <c r="Q151" s="54">
        <v>970.54</v>
      </c>
    </row>
    <row r="152" spans="1:17" ht="26.45">
      <c r="A152" s="47">
        <v>2024</v>
      </c>
      <c r="B152" s="50" t="s">
        <v>1411</v>
      </c>
      <c r="C152" s="50" t="s">
        <v>9005</v>
      </c>
      <c r="D152" s="47" t="s">
        <v>194</v>
      </c>
      <c r="E152" s="48" t="s">
        <v>794</v>
      </c>
      <c r="F152" s="53">
        <v>1219.1600000000001</v>
      </c>
      <c r="G152" s="53">
        <v>0</v>
      </c>
      <c r="H152" s="53">
        <v>0</v>
      </c>
      <c r="I152" s="53">
        <v>0</v>
      </c>
      <c r="J152" s="53">
        <v>0</v>
      </c>
      <c r="K152" s="53">
        <v>0</v>
      </c>
      <c r="L152" s="53">
        <v>0</v>
      </c>
      <c r="M152" s="43"/>
      <c r="N152" s="53">
        <v>0</v>
      </c>
      <c r="O152" s="53">
        <v>0</v>
      </c>
      <c r="P152" s="53">
        <v>0</v>
      </c>
      <c r="Q152" s="53">
        <v>1219.1600000000001</v>
      </c>
    </row>
    <row r="153" spans="1:17" ht="26.45">
      <c r="A153" s="44">
        <v>2024</v>
      </c>
      <c r="B153" s="46" t="s">
        <v>1411</v>
      </c>
      <c r="C153" s="46" t="s">
        <v>9005</v>
      </c>
      <c r="D153" s="44" t="s">
        <v>195</v>
      </c>
      <c r="E153" s="45" t="s">
        <v>795</v>
      </c>
      <c r="F153" s="54">
        <v>2923.7</v>
      </c>
      <c r="G153" s="54">
        <v>2564.5</v>
      </c>
      <c r="H153" s="54">
        <v>0</v>
      </c>
      <c r="I153" s="54">
        <v>0</v>
      </c>
      <c r="J153" s="54">
        <v>0</v>
      </c>
      <c r="K153" s="54">
        <v>0</v>
      </c>
      <c r="L153" s="54">
        <v>0</v>
      </c>
      <c r="M153" s="43"/>
      <c r="N153" s="54">
        <v>0</v>
      </c>
      <c r="O153" s="54">
        <v>0</v>
      </c>
      <c r="P153" s="54">
        <v>0</v>
      </c>
      <c r="Q153" s="54">
        <v>5488.2</v>
      </c>
    </row>
    <row r="154" spans="1:17" ht="26.45">
      <c r="A154" s="47">
        <v>2024</v>
      </c>
      <c r="B154" s="50" t="s">
        <v>1411</v>
      </c>
      <c r="C154" s="50" t="s">
        <v>9005</v>
      </c>
      <c r="D154" s="47" t="s">
        <v>196</v>
      </c>
      <c r="E154" s="48" t="s">
        <v>796</v>
      </c>
      <c r="F154" s="53">
        <v>892.55</v>
      </c>
      <c r="G154" s="53">
        <v>725.88</v>
      </c>
      <c r="H154" s="53">
        <v>0</v>
      </c>
      <c r="I154" s="53">
        <v>0</v>
      </c>
      <c r="J154" s="53">
        <v>0</v>
      </c>
      <c r="K154" s="53">
        <v>0</v>
      </c>
      <c r="L154" s="53">
        <v>0</v>
      </c>
      <c r="M154" s="43"/>
      <c r="N154" s="53">
        <v>0</v>
      </c>
      <c r="O154" s="53">
        <v>0</v>
      </c>
      <c r="P154" s="53">
        <v>0</v>
      </c>
      <c r="Q154" s="53">
        <v>1618.43</v>
      </c>
    </row>
    <row r="155" spans="1:17" ht="26.45">
      <c r="A155" s="44">
        <v>2024</v>
      </c>
      <c r="B155" s="46" t="s">
        <v>1411</v>
      </c>
      <c r="C155" s="46" t="s">
        <v>9005</v>
      </c>
      <c r="D155" s="44" t="s">
        <v>197</v>
      </c>
      <c r="E155" s="45" t="s">
        <v>797</v>
      </c>
      <c r="F155" s="54">
        <v>379.53</v>
      </c>
      <c r="G155" s="54">
        <v>478.04</v>
      </c>
      <c r="H155" s="54">
        <v>0</v>
      </c>
      <c r="I155" s="54">
        <v>0</v>
      </c>
      <c r="J155" s="54">
        <v>0</v>
      </c>
      <c r="K155" s="54">
        <v>0</v>
      </c>
      <c r="L155" s="54">
        <v>0</v>
      </c>
      <c r="M155" s="43"/>
      <c r="N155" s="54">
        <v>0</v>
      </c>
      <c r="O155" s="54">
        <v>0</v>
      </c>
      <c r="P155" s="54">
        <v>0</v>
      </c>
      <c r="Q155" s="54">
        <v>857.57</v>
      </c>
    </row>
    <row r="156" spans="1:17" ht="39.6">
      <c r="A156" s="47">
        <v>2024</v>
      </c>
      <c r="B156" s="50" t="s">
        <v>1411</v>
      </c>
      <c r="C156" s="50" t="s">
        <v>9005</v>
      </c>
      <c r="D156" s="47" t="s">
        <v>198</v>
      </c>
      <c r="E156" s="48" t="s">
        <v>798</v>
      </c>
      <c r="F156" s="53">
        <v>1970.47</v>
      </c>
      <c r="G156" s="53">
        <v>2909.77</v>
      </c>
      <c r="H156" s="53">
        <v>0</v>
      </c>
      <c r="I156" s="53">
        <v>0</v>
      </c>
      <c r="J156" s="53">
        <v>0</v>
      </c>
      <c r="K156" s="53">
        <v>0</v>
      </c>
      <c r="L156" s="53">
        <v>0</v>
      </c>
      <c r="M156" s="43"/>
      <c r="N156" s="53">
        <v>0</v>
      </c>
      <c r="O156" s="53">
        <v>0</v>
      </c>
      <c r="P156" s="53">
        <v>0</v>
      </c>
      <c r="Q156" s="53">
        <v>4880.24</v>
      </c>
    </row>
    <row r="157" spans="1:17" ht="26.45">
      <c r="A157" s="44">
        <v>2024</v>
      </c>
      <c r="B157" s="46" t="s">
        <v>1411</v>
      </c>
      <c r="C157" s="46" t="s">
        <v>9005</v>
      </c>
      <c r="D157" s="44" t="s">
        <v>199</v>
      </c>
      <c r="E157" s="45" t="s">
        <v>799</v>
      </c>
      <c r="F157" s="54">
        <v>660.35</v>
      </c>
      <c r="G157" s="54">
        <v>31.08</v>
      </c>
      <c r="H157" s="54">
        <v>0</v>
      </c>
      <c r="I157" s="54">
        <v>0</v>
      </c>
      <c r="J157" s="54">
        <v>0</v>
      </c>
      <c r="K157" s="54">
        <v>0</v>
      </c>
      <c r="L157" s="54">
        <v>0</v>
      </c>
      <c r="M157" s="43"/>
      <c r="N157" s="54">
        <v>0</v>
      </c>
      <c r="O157" s="54">
        <v>0</v>
      </c>
      <c r="P157" s="54">
        <v>0</v>
      </c>
      <c r="Q157" s="54">
        <v>691.43</v>
      </c>
    </row>
    <row r="158" spans="1:17" ht="26.45">
      <c r="A158" s="47">
        <v>2024</v>
      </c>
      <c r="B158" s="50" t="s">
        <v>1411</v>
      </c>
      <c r="C158" s="50" t="s">
        <v>9005</v>
      </c>
      <c r="D158" s="47" t="s">
        <v>200</v>
      </c>
      <c r="E158" s="48" t="s">
        <v>800</v>
      </c>
      <c r="F158" s="53">
        <v>355.87</v>
      </c>
      <c r="G158" s="53">
        <v>0</v>
      </c>
      <c r="H158" s="53">
        <v>0</v>
      </c>
      <c r="I158" s="53">
        <v>0</v>
      </c>
      <c r="J158" s="53">
        <v>0</v>
      </c>
      <c r="K158" s="53">
        <v>0</v>
      </c>
      <c r="L158" s="53">
        <v>-355.87</v>
      </c>
      <c r="M158" s="43"/>
      <c r="N158" s="53">
        <v>0</v>
      </c>
      <c r="O158" s="53">
        <v>0</v>
      </c>
      <c r="P158" s="53">
        <v>0</v>
      </c>
      <c r="Q158" s="53">
        <v>0</v>
      </c>
    </row>
    <row r="159" spans="1:17" ht="26.45">
      <c r="A159" s="47">
        <v>2024</v>
      </c>
      <c r="B159" s="50" t="s">
        <v>1411</v>
      </c>
      <c r="C159" s="50" t="s">
        <v>9005</v>
      </c>
      <c r="D159" s="47" t="s">
        <v>201</v>
      </c>
      <c r="E159" s="48" t="s">
        <v>803</v>
      </c>
      <c r="F159" s="53">
        <v>551.05999999999995</v>
      </c>
      <c r="G159" s="53">
        <v>0</v>
      </c>
      <c r="H159" s="53">
        <v>0</v>
      </c>
      <c r="I159" s="53">
        <v>0</v>
      </c>
      <c r="J159" s="53">
        <v>0</v>
      </c>
      <c r="K159" s="53">
        <v>0</v>
      </c>
      <c r="L159" s="53">
        <v>0</v>
      </c>
      <c r="M159" s="43"/>
      <c r="N159" s="53">
        <v>0</v>
      </c>
      <c r="O159" s="53">
        <v>0</v>
      </c>
      <c r="P159" s="53">
        <v>0</v>
      </c>
      <c r="Q159" s="53">
        <v>551.05999999999995</v>
      </c>
    </row>
    <row r="160" spans="1:17" ht="26.45">
      <c r="A160" s="44">
        <v>2024</v>
      </c>
      <c r="B160" s="46" t="s">
        <v>1411</v>
      </c>
      <c r="C160" s="46" t="s">
        <v>9005</v>
      </c>
      <c r="D160" s="44" t="s">
        <v>202</v>
      </c>
      <c r="E160" s="45" t="s">
        <v>804</v>
      </c>
      <c r="F160" s="54">
        <v>3441.66</v>
      </c>
      <c r="G160" s="54">
        <v>2951.11</v>
      </c>
      <c r="H160" s="54">
        <v>0</v>
      </c>
      <c r="I160" s="54">
        <v>0</v>
      </c>
      <c r="J160" s="54">
        <v>0</v>
      </c>
      <c r="K160" s="54">
        <v>0</v>
      </c>
      <c r="L160" s="54">
        <v>0</v>
      </c>
      <c r="M160" s="43"/>
      <c r="N160" s="54">
        <v>0</v>
      </c>
      <c r="O160" s="54">
        <v>0</v>
      </c>
      <c r="P160" s="54">
        <v>0</v>
      </c>
      <c r="Q160" s="54">
        <v>6392.77</v>
      </c>
    </row>
    <row r="161" spans="1:17" ht="26.45">
      <c r="A161" s="47">
        <v>2024</v>
      </c>
      <c r="B161" s="50" t="s">
        <v>1411</v>
      </c>
      <c r="C161" s="50" t="s">
        <v>9005</v>
      </c>
      <c r="D161" s="47" t="s">
        <v>203</v>
      </c>
      <c r="E161" s="48" t="s">
        <v>805</v>
      </c>
      <c r="F161" s="53">
        <v>1250.24</v>
      </c>
      <c r="G161" s="53">
        <v>146.01</v>
      </c>
      <c r="H161" s="53">
        <v>0</v>
      </c>
      <c r="I161" s="53">
        <v>0</v>
      </c>
      <c r="J161" s="53">
        <v>0</v>
      </c>
      <c r="K161" s="53">
        <v>0</v>
      </c>
      <c r="L161" s="53">
        <v>0</v>
      </c>
      <c r="M161" s="43"/>
      <c r="N161" s="53">
        <v>0</v>
      </c>
      <c r="O161" s="53">
        <v>0</v>
      </c>
      <c r="P161" s="53">
        <v>0</v>
      </c>
      <c r="Q161" s="53">
        <v>1396.25</v>
      </c>
    </row>
    <row r="162" spans="1:17" ht="26.45">
      <c r="A162" s="44">
        <v>2024</v>
      </c>
      <c r="B162" s="46" t="s">
        <v>1411</v>
      </c>
      <c r="C162" s="46" t="s">
        <v>9005</v>
      </c>
      <c r="D162" s="44" t="s">
        <v>204</v>
      </c>
      <c r="E162" s="45" t="s">
        <v>807</v>
      </c>
      <c r="F162" s="54">
        <v>523.28</v>
      </c>
      <c r="G162" s="54">
        <v>520.53</v>
      </c>
      <c r="H162" s="54">
        <v>0</v>
      </c>
      <c r="I162" s="54">
        <v>0</v>
      </c>
      <c r="J162" s="54">
        <v>0</v>
      </c>
      <c r="K162" s="54">
        <v>0</v>
      </c>
      <c r="L162" s="54">
        <v>0</v>
      </c>
      <c r="M162" s="43"/>
      <c r="N162" s="54">
        <v>0</v>
      </c>
      <c r="O162" s="54">
        <v>0</v>
      </c>
      <c r="P162" s="54">
        <v>0</v>
      </c>
      <c r="Q162" s="54">
        <v>1043.81</v>
      </c>
    </row>
    <row r="163" spans="1:17" ht="39.6">
      <c r="A163" s="44">
        <v>2024</v>
      </c>
      <c r="B163" s="46" t="s">
        <v>1411</v>
      </c>
      <c r="C163" s="46" t="s">
        <v>9005</v>
      </c>
      <c r="D163" s="44" t="s">
        <v>205</v>
      </c>
      <c r="E163" s="45" t="s">
        <v>812</v>
      </c>
      <c r="F163" s="54">
        <v>454.69</v>
      </c>
      <c r="G163" s="54">
        <v>0</v>
      </c>
      <c r="H163" s="54">
        <v>0</v>
      </c>
      <c r="I163" s="54">
        <v>0</v>
      </c>
      <c r="J163" s="54">
        <v>0</v>
      </c>
      <c r="K163" s="54">
        <v>0</v>
      </c>
      <c r="L163" s="54">
        <v>-454.69</v>
      </c>
      <c r="M163" s="43"/>
      <c r="N163" s="54">
        <v>0</v>
      </c>
      <c r="O163" s="54">
        <v>0</v>
      </c>
      <c r="P163" s="54">
        <v>0</v>
      </c>
      <c r="Q163" s="54">
        <v>0</v>
      </c>
    </row>
    <row r="164" spans="1:17" ht="26.45">
      <c r="A164" s="47">
        <v>2024</v>
      </c>
      <c r="B164" s="50" t="s">
        <v>1411</v>
      </c>
      <c r="C164" s="50" t="s">
        <v>9005</v>
      </c>
      <c r="D164" s="47" t="s">
        <v>206</v>
      </c>
      <c r="E164" s="48" t="s">
        <v>813</v>
      </c>
      <c r="F164" s="53">
        <v>1095.8</v>
      </c>
      <c r="G164" s="53">
        <v>0</v>
      </c>
      <c r="H164" s="53">
        <v>0</v>
      </c>
      <c r="I164" s="53">
        <v>0</v>
      </c>
      <c r="J164" s="53">
        <v>0</v>
      </c>
      <c r="K164" s="53">
        <v>0</v>
      </c>
      <c r="L164" s="53">
        <v>-1095.8</v>
      </c>
      <c r="M164" s="43"/>
      <c r="N164" s="53">
        <v>0</v>
      </c>
      <c r="O164" s="53">
        <v>0</v>
      </c>
      <c r="P164" s="53">
        <v>0</v>
      </c>
      <c r="Q164" s="53">
        <v>0</v>
      </c>
    </row>
    <row r="165" spans="1:17" ht="26.45">
      <c r="A165" s="44">
        <v>2024</v>
      </c>
      <c r="B165" s="46" t="s">
        <v>1411</v>
      </c>
      <c r="C165" s="46" t="s">
        <v>9005</v>
      </c>
      <c r="D165" s="44" t="s">
        <v>207</v>
      </c>
      <c r="E165" s="45" t="s">
        <v>814</v>
      </c>
      <c r="F165" s="54">
        <v>1930.67</v>
      </c>
      <c r="G165" s="54">
        <v>0</v>
      </c>
      <c r="H165" s="54">
        <v>0</v>
      </c>
      <c r="I165" s="54">
        <v>0</v>
      </c>
      <c r="J165" s="54">
        <v>0</v>
      </c>
      <c r="K165" s="54">
        <v>0</v>
      </c>
      <c r="L165" s="54">
        <v>0</v>
      </c>
      <c r="M165" s="43"/>
      <c r="N165" s="54">
        <v>0</v>
      </c>
      <c r="O165" s="54">
        <v>0</v>
      </c>
      <c r="P165" s="54">
        <v>0</v>
      </c>
      <c r="Q165" s="54">
        <v>1930.67</v>
      </c>
    </row>
    <row r="166" spans="1:17" ht="26.45">
      <c r="A166" s="44">
        <v>2024</v>
      </c>
      <c r="B166" s="46" t="s">
        <v>1411</v>
      </c>
      <c r="C166" s="46" t="s">
        <v>9005</v>
      </c>
      <c r="D166" s="44" t="s">
        <v>208</v>
      </c>
      <c r="E166" s="45" t="s">
        <v>817</v>
      </c>
      <c r="F166" s="54">
        <v>1206.79</v>
      </c>
      <c r="G166" s="54">
        <v>178.08</v>
      </c>
      <c r="H166" s="54">
        <v>0</v>
      </c>
      <c r="I166" s="54">
        <v>0</v>
      </c>
      <c r="J166" s="54">
        <v>0</v>
      </c>
      <c r="K166" s="54">
        <v>0</v>
      </c>
      <c r="L166" s="54">
        <v>0</v>
      </c>
      <c r="M166" s="43"/>
      <c r="N166" s="54">
        <v>0</v>
      </c>
      <c r="O166" s="54">
        <v>0</v>
      </c>
      <c r="P166" s="54">
        <v>0</v>
      </c>
      <c r="Q166" s="54">
        <v>1384.87</v>
      </c>
    </row>
    <row r="167" spans="1:17" ht="26.45">
      <c r="A167" s="47">
        <v>2024</v>
      </c>
      <c r="B167" s="50" t="s">
        <v>1411</v>
      </c>
      <c r="C167" s="50" t="s">
        <v>9005</v>
      </c>
      <c r="D167" s="47" t="s">
        <v>209</v>
      </c>
      <c r="E167" s="48" t="s">
        <v>818</v>
      </c>
      <c r="F167" s="53">
        <v>466.09</v>
      </c>
      <c r="G167" s="53">
        <v>0</v>
      </c>
      <c r="H167" s="53">
        <v>0</v>
      </c>
      <c r="I167" s="53">
        <v>0</v>
      </c>
      <c r="J167" s="53">
        <v>0</v>
      </c>
      <c r="K167" s="53">
        <v>0</v>
      </c>
      <c r="L167" s="53">
        <v>0</v>
      </c>
      <c r="M167" s="43"/>
      <c r="N167" s="53">
        <v>0</v>
      </c>
      <c r="O167" s="53">
        <v>0</v>
      </c>
      <c r="P167" s="53">
        <v>0</v>
      </c>
      <c r="Q167" s="53">
        <v>466.09</v>
      </c>
    </row>
    <row r="168" spans="1:17" ht="26.45">
      <c r="A168" s="44">
        <v>2024</v>
      </c>
      <c r="B168" s="46" t="s">
        <v>1411</v>
      </c>
      <c r="C168" s="46" t="s">
        <v>9005</v>
      </c>
      <c r="D168" s="44" t="s">
        <v>210</v>
      </c>
      <c r="E168" s="45" t="s">
        <v>819</v>
      </c>
      <c r="F168" s="54">
        <v>63140.05</v>
      </c>
      <c r="G168" s="54">
        <v>6342.96</v>
      </c>
      <c r="H168" s="54">
        <v>0</v>
      </c>
      <c r="I168" s="54">
        <v>0</v>
      </c>
      <c r="J168" s="54">
        <v>0</v>
      </c>
      <c r="K168" s="54">
        <v>0</v>
      </c>
      <c r="L168" s="54">
        <v>0</v>
      </c>
      <c r="M168" s="43"/>
      <c r="N168" s="54">
        <v>0</v>
      </c>
      <c r="O168" s="54">
        <v>0</v>
      </c>
      <c r="P168" s="54">
        <v>0</v>
      </c>
      <c r="Q168" s="54">
        <v>69483.009999999995</v>
      </c>
    </row>
    <row r="169" spans="1:17" ht="26.45">
      <c r="A169" s="47">
        <v>2024</v>
      </c>
      <c r="B169" s="50" t="s">
        <v>1411</v>
      </c>
      <c r="C169" s="50" t="s">
        <v>9005</v>
      </c>
      <c r="D169" s="47" t="s">
        <v>211</v>
      </c>
      <c r="E169" s="48" t="s">
        <v>820</v>
      </c>
      <c r="F169" s="53">
        <v>19828.68</v>
      </c>
      <c r="G169" s="53">
        <v>537.54999999999995</v>
      </c>
      <c r="H169" s="53">
        <v>0</v>
      </c>
      <c r="I169" s="53">
        <v>0</v>
      </c>
      <c r="J169" s="53">
        <v>0</v>
      </c>
      <c r="K169" s="53">
        <v>0</v>
      </c>
      <c r="L169" s="53">
        <v>0</v>
      </c>
      <c r="M169" s="43"/>
      <c r="N169" s="53">
        <v>0</v>
      </c>
      <c r="O169" s="53">
        <v>0</v>
      </c>
      <c r="P169" s="53">
        <v>0</v>
      </c>
      <c r="Q169" s="53">
        <v>20366.23</v>
      </c>
    </row>
    <row r="170" spans="1:17" ht="26.45">
      <c r="A170" s="44">
        <v>2024</v>
      </c>
      <c r="B170" s="46" t="s">
        <v>1411</v>
      </c>
      <c r="C170" s="46" t="s">
        <v>9005</v>
      </c>
      <c r="D170" s="44" t="s">
        <v>212</v>
      </c>
      <c r="E170" s="45" t="s">
        <v>821</v>
      </c>
      <c r="F170" s="54">
        <v>26419.62</v>
      </c>
      <c r="G170" s="54">
        <v>15816.52</v>
      </c>
      <c r="H170" s="54">
        <v>0</v>
      </c>
      <c r="I170" s="54">
        <v>0</v>
      </c>
      <c r="J170" s="54">
        <v>0</v>
      </c>
      <c r="K170" s="54">
        <v>0</v>
      </c>
      <c r="L170" s="54">
        <v>0</v>
      </c>
      <c r="M170" s="43"/>
      <c r="N170" s="54">
        <v>0</v>
      </c>
      <c r="O170" s="54">
        <v>0</v>
      </c>
      <c r="P170" s="54">
        <v>0</v>
      </c>
      <c r="Q170" s="54">
        <v>42236.14</v>
      </c>
    </row>
    <row r="171" spans="1:17" ht="26.45">
      <c r="A171" s="47">
        <v>2024</v>
      </c>
      <c r="B171" s="50" t="s">
        <v>1411</v>
      </c>
      <c r="C171" s="50" t="s">
        <v>9005</v>
      </c>
      <c r="D171" s="47" t="s">
        <v>213</v>
      </c>
      <c r="E171" s="48" t="s">
        <v>822</v>
      </c>
      <c r="F171" s="53">
        <v>8869.2199999999993</v>
      </c>
      <c r="G171" s="53">
        <v>0</v>
      </c>
      <c r="H171" s="53">
        <v>0</v>
      </c>
      <c r="I171" s="53">
        <v>0</v>
      </c>
      <c r="J171" s="53">
        <v>0</v>
      </c>
      <c r="K171" s="53">
        <v>0</v>
      </c>
      <c r="L171" s="53">
        <v>0</v>
      </c>
      <c r="M171" s="43"/>
      <c r="N171" s="53">
        <v>0</v>
      </c>
      <c r="O171" s="53">
        <v>0</v>
      </c>
      <c r="P171" s="53">
        <v>0</v>
      </c>
      <c r="Q171" s="53">
        <v>8869.2199999999993</v>
      </c>
    </row>
    <row r="172" spans="1:17" ht="26.45">
      <c r="A172" s="44">
        <v>2024</v>
      </c>
      <c r="B172" s="46" t="s">
        <v>1411</v>
      </c>
      <c r="C172" s="46" t="s">
        <v>9005</v>
      </c>
      <c r="D172" s="44" t="s">
        <v>214</v>
      </c>
      <c r="E172" s="45" t="s">
        <v>823</v>
      </c>
      <c r="F172" s="54">
        <v>3305.29</v>
      </c>
      <c r="G172" s="54">
        <v>0</v>
      </c>
      <c r="H172" s="54">
        <v>0</v>
      </c>
      <c r="I172" s="54">
        <v>0</v>
      </c>
      <c r="J172" s="54">
        <v>0</v>
      </c>
      <c r="K172" s="54">
        <v>0</v>
      </c>
      <c r="L172" s="54">
        <v>0</v>
      </c>
      <c r="M172" s="43"/>
      <c r="N172" s="54">
        <v>0</v>
      </c>
      <c r="O172" s="54">
        <v>0</v>
      </c>
      <c r="P172" s="54">
        <v>0</v>
      </c>
      <c r="Q172" s="54">
        <v>3305.29</v>
      </c>
    </row>
    <row r="173" spans="1:17" ht="26.45">
      <c r="A173" s="47">
        <v>2024</v>
      </c>
      <c r="B173" s="50" t="s">
        <v>1411</v>
      </c>
      <c r="C173" s="50" t="s">
        <v>9005</v>
      </c>
      <c r="D173" s="47" t="s">
        <v>215</v>
      </c>
      <c r="E173" s="48" t="s">
        <v>824</v>
      </c>
      <c r="F173" s="53">
        <v>7087.81</v>
      </c>
      <c r="G173" s="53">
        <v>0</v>
      </c>
      <c r="H173" s="53">
        <v>0</v>
      </c>
      <c r="I173" s="53">
        <v>0</v>
      </c>
      <c r="J173" s="53">
        <v>0</v>
      </c>
      <c r="K173" s="53">
        <v>0</v>
      </c>
      <c r="L173" s="53">
        <v>0</v>
      </c>
      <c r="M173" s="43"/>
      <c r="N173" s="53">
        <v>0</v>
      </c>
      <c r="O173" s="53">
        <v>0</v>
      </c>
      <c r="P173" s="53">
        <v>0</v>
      </c>
      <c r="Q173" s="53">
        <v>7087.81</v>
      </c>
    </row>
    <row r="174" spans="1:17" ht="26.45">
      <c r="A174" s="44">
        <v>2024</v>
      </c>
      <c r="B174" s="46" t="s">
        <v>1411</v>
      </c>
      <c r="C174" s="46" t="s">
        <v>9005</v>
      </c>
      <c r="D174" s="44" t="s">
        <v>216</v>
      </c>
      <c r="E174" s="45" t="s">
        <v>825</v>
      </c>
      <c r="F174" s="54">
        <v>23803.29</v>
      </c>
      <c r="G174" s="54">
        <v>10028.299999999999</v>
      </c>
      <c r="H174" s="54">
        <v>0</v>
      </c>
      <c r="I174" s="54">
        <v>0</v>
      </c>
      <c r="J174" s="54">
        <v>0</v>
      </c>
      <c r="K174" s="54">
        <v>0</v>
      </c>
      <c r="L174" s="54">
        <v>0</v>
      </c>
      <c r="M174" s="43"/>
      <c r="N174" s="54">
        <v>0</v>
      </c>
      <c r="O174" s="54">
        <v>0</v>
      </c>
      <c r="P174" s="54">
        <v>0</v>
      </c>
      <c r="Q174" s="54">
        <v>33831.589999999997</v>
      </c>
    </row>
    <row r="175" spans="1:17" ht="26.45">
      <c r="A175" s="47">
        <v>2024</v>
      </c>
      <c r="B175" s="50" t="s">
        <v>1411</v>
      </c>
      <c r="C175" s="50" t="s">
        <v>9005</v>
      </c>
      <c r="D175" s="47" t="s">
        <v>217</v>
      </c>
      <c r="E175" s="48" t="s">
        <v>826</v>
      </c>
      <c r="F175" s="53">
        <v>1142.0999999999999</v>
      </c>
      <c r="G175" s="53">
        <v>0</v>
      </c>
      <c r="H175" s="53">
        <v>0</v>
      </c>
      <c r="I175" s="53">
        <v>0</v>
      </c>
      <c r="J175" s="53">
        <v>0</v>
      </c>
      <c r="K175" s="53">
        <v>0</v>
      </c>
      <c r="L175" s="53">
        <v>0</v>
      </c>
      <c r="M175" s="43"/>
      <c r="N175" s="53">
        <v>0</v>
      </c>
      <c r="O175" s="53">
        <v>0</v>
      </c>
      <c r="P175" s="53">
        <v>0</v>
      </c>
      <c r="Q175" s="53">
        <v>1142.0999999999999</v>
      </c>
    </row>
    <row r="176" spans="1:17" ht="26.45">
      <c r="A176" s="44">
        <v>2024</v>
      </c>
      <c r="B176" s="46" t="s">
        <v>1411</v>
      </c>
      <c r="C176" s="46" t="s">
        <v>9005</v>
      </c>
      <c r="D176" s="44" t="s">
        <v>218</v>
      </c>
      <c r="E176" s="45" t="s">
        <v>826</v>
      </c>
      <c r="F176" s="54">
        <v>1347.5</v>
      </c>
      <c r="G176" s="54">
        <v>0</v>
      </c>
      <c r="H176" s="54">
        <v>0</v>
      </c>
      <c r="I176" s="54">
        <v>0</v>
      </c>
      <c r="J176" s="54">
        <v>0</v>
      </c>
      <c r="K176" s="54">
        <v>0</v>
      </c>
      <c r="L176" s="54">
        <v>0</v>
      </c>
      <c r="M176" s="43"/>
      <c r="N176" s="54">
        <v>0</v>
      </c>
      <c r="O176" s="54">
        <v>0</v>
      </c>
      <c r="P176" s="54">
        <v>0</v>
      </c>
      <c r="Q176" s="54">
        <v>1347.5</v>
      </c>
    </row>
    <row r="177" spans="1:17" ht="26.45">
      <c r="A177" s="47">
        <v>2024</v>
      </c>
      <c r="B177" s="50" t="s">
        <v>1411</v>
      </c>
      <c r="C177" s="50" t="s">
        <v>9005</v>
      </c>
      <c r="D177" s="47" t="s">
        <v>219</v>
      </c>
      <c r="E177" s="48" t="s">
        <v>827</v>
      </c>
      <c r="F177" s="53">
        <v>1163.0899999999999</v>
      </c>
      <c r="G177" s="53">
        <v>185.33</v>
      </c>
      <c r="H177" s="53">
        <v>0</v>
      </c>
      <c r="I177" s="53">
        <v>0</v>
      </c>
      <c r="J177" s="53">
        <v>0</v>
      </c>
      <c r="K177" s="53">
        <v>0</v>
      </c>
      <c r="L177" s="53">
        <v>0</v>
      </c>
      <c r="M177" s="43"/>
      <c r="N177" s="53">
        <v>0</v>
      </c>
      <c r="O177" s="53">
        <v>0</v>
      </c>
      <c r="P177" s="53">
        <v>0</v>
      </c>
      <c r="Q177" s="53">
        <v>1348.42</v>
      </c>
    </row>
    <row r="178" spans="1:17" ht="26.45">
      <c r="A178" s="44">
        <v>2024</v>
      </c>
      <c r="B178" s="46" t="s">
        <v>1411</v>
      </c>
      <c r="C178" s="46" t="s">
        <v>9005</v>
      </c>
      <c r="D178" s="44" t="s">
        <v>220</v>
      </c>
      <c r="E178" s="45" t="s">
        <v>828</v>
      </c>
      <c r="F178" s="54">
        <v>635.29</v>
      </c>
      <c r="G178" s="54">
        <v>768.2</v>
      </c>
      <c r="H178" s="54">
        <v>0</v>
      </c>
      <c r="I178" s="54">
        <v>0</v>
      </c>
      <c r="J178" s="54">
        <v>0</v>
      </c>
      <c r="K178" s="54">
        <v>0</v>
      </c>
      <c r="L178" s="54">
        <v>0</v>
      </c>
      <c r="M178" s="43"/>
      <c r="N178" s="54">
        <v>0</v>
      </c>
      <c r="O178" s="54">
        <v>0</v>
      </c>
      <c r="P178" s="54">
        <v>0</v>
      </c>
      <c r="Q178" s="54">
        <v>1403.49</v>
      </c>
    </row>
    <row r="179" spans="1:17" ht="26.45">
      <c r="A179" s="44">
        <v>2024</v>
      </c>
      <c r="B179" s="46" t="s">
        <v>1411</v>
      </c>
      <c r="C179" s="46" t="s">
        <v>9005</v>
      </c>
      <c r="D179" s="44" t="s">
        <v>221</v>
      </c>
      <c r="E179" s="45" t="s">
        <v>831</v>
      </c>
      <c r="F179" s="54">
        <v>720.96</v>
      </c>
      <c r="G179" s="54">
        <v>119.24</v>
      </c>
      <c r="H179" s="54">
        <v>0</v>
      </c>
      <c r="I179" s="54">
        <v>0</v>
      </c>
      <c r="J179" s="54">
        <v>0</v>
      </c>
      <c r="K179" s="54">
        <v>0</v>
      </c>
      <c r="L179" s="54">
        <v>0</v>
      </c>
      <c r="M179" s="43"/>
      <c r="N179" s="54">
        <v>0</v>
      </c>
      <c r="O179" s="54">
        <v>0</v>
      </c>
      <c r="P179" s="54">
        <v>0</v>
      </c>
      <c r="Q179" s="54">
        <v>840.2</v>
      </c>
    </row>
    <row r="180" spans="1:17" ht="26.45">
      <c r="A180" s="47">
        <v>2024</v>
      </c>
      <c r="B180" s="50" t="s">
        <v>1411</v>
      </c>
      <c r="C180" s="50" t="s">
        <v>9005</v>
      </c>
      <c r="D180" s="47" t="s">
        <v>222</v>
      </c>
      <c r="E180" s="48" t="s">
        <v>832</v>
      </c>
      <c r="F180" s="53">
        <v>17643.71</v>
      </c>
      <c r="G180" s="53">
        <v>17941.759999999998</v>
      </c>
      <c r="H180" s="53">
        <v>0</v>
      </c>
      <c r="I180" s="53">
        <v>0</v>
      </c>
      <c r="J180" s="53">
        <v>0</v>
      </c>
      <c r="K180" s="53">
        <v>0</v>
      </c>
      <c r="L180" s="53">
        <v>0</v>
      </c>
      <c r="M180" s="43"/>
      <c r="N180" s="53">
        <v>0</v>
      </c>
      <c r="O180" s="53">
        <v>0</v>
      </c>
      <c r="P180" s="53">
        <v>0</v>
      </c>
      <c r="Q180" s="53">
        <v>35585.47</v>
      </c>
    </row>
    <row r="181" spans="1:17" ht="26.45">
      <c r="A181" s="44">
        <v>2024</v>
      </c>
      <c r="B181" s="46" t="s">
        <v>1411</v>
      </c>
      <c r="C181" s="46" t="s">
        <v>9005</v>
      </c>
      <c r="D181" s="44" t="s">
        <v>223</v>
      </c>
      <c r="E181" s="45" t="s">
        <v>833</v>
      </c>
      <c r="F181" s="54">
        <v>7209.98</v>
      </c>
      <c r="G181" s="54">
        <v>7312.83</v>
      </c>
      <c r="H181" s="54">
        <v>0</v>
      </c>
      <c r="I181" s="54">
        <v>0</v>
      </c>
      <c r="J181" s="54">
        <v>0</v>
      </c>
      <c r="K181" s="54">
        <v>0</v>
      </c>
      <c r="L181" s="54">
        <v>0</v>
      </c>
      <c r="M181" s="43"/>
      <c r="N181" s="54">
        <v>0</v>
      </c>
      <c r="O181" s="54">
        <v>0</v>
      </c>
      <c r="P181" s="54">
        <v>0</v>
      </c>
      <c r="Q181" s="54">
        <v>14522.81</v>
      </c>
    </row>
    <row r="182" spans="1:17" ht="26.45">
      <c r="A182" s="47">
        <v>2024</v>
      </c>
      <c r="B182" s="50" t="s">
        <v>1411</v>
      </c>
      <c r="C182" s="50" t="s">
        <v>9005</v>
      </c>
      <c r="D182" s="47" t="s">
        <v>224</v>
      </c>
      <c r="E182" s="48" t="s">
        <v>834</v>
      </c>
      <c r="F182" s="53">
        <v>638</v>
      </c>
      <c r="G182" s="53">
        <v>0</v>
      </c>
      <c r="H182" s="53">
        <v>0</v>
      </c>
      <c r="I182" s="53">
        <v>0</v>
      </c>
      <c r="J182" s="53">
        <v>0</v>
      </c>
      <c r="K182" s="53">
        <v>0</v>
      </c>
      <c r="L182" s="53">
        <v>-638</v>
      </c>
      <c r="M182" s="43"/>
      <c r="N182" s="53">
        <v>0</v>
      </c>
      <c r="O182" s="53">
        <v>0</v>
      </c>
      <c r="P182" s="53">
        <v>0</v>
      </c>
      <c r="Q182" s="53">
        <v>0</v>
      </c>
    </row>
    <row r="183" spans="1:17" ht="26.45">
      <c r="A183" s="47">
        <v>2024</v>
      </c>
      <c r="B183" s="50" t="s">
        <v>1411</v>
      </c>
      <c r="C183" s="50" t="s">
        <v>9005</v>
      </c>
      <c r="D183" s="47" t="s">
        <v>225</v>
      </c>
      <c r="E183" s="48" t="s">
        <v>837</v>
      </c>
      <c r="F183" s="53">
        <v>372.98</v>
      </c>
      <c r="G183" s="53">
        <v>149.25</v>
      </c>
      <c r="H183" s="53">
        <v>0</v>
      </c>
      <c r="I183" s="53">
        <v>0</v>
      </c>
      <c r="J183" s="53">
        <v>0</v>
      </c>
      <c r="K183" s="53">
        <v>0</v>
      </c>
      <c r="L183" s="53">
        <v>0</v>
      </c>
      <c r="M183" s="43"/>
      <c r="N183" s="53">
        <v>0</v>
      </c>
      <c r="O183" s="53">
        <v>0</v>
      </c>
      <c r="P183" s="53">
        <v>0</v>
      </c>
      <c r="Q183" s="53">
        <v>522.23</v>
      </c>
    </row>
    <row r="184" spans="1:17" ht="26.45">
      <c r="A184" s="44">
        <v>2024</v>
      </c>
      <c r="B184" s="46" t="s">
        <v>1411</v>
      </c>
      <c r="C184" s="46" t="s">
        <v>9005</v>
      </c>
      <c r="D184" s="44" t="s">
        <v>226</v>
      </c>
      <c r="E184" s="45" t="s">
        <v>838</v>
      </c>
      <c r="F184" s="54">
        <v>625.30999999999995</v>
      </c>
      <c r="G184" s="54">
        <v>96.76</v>
      </c>
      <c r="H184" s="54">
        <v>0</v>
      </c>
      <c r="I184" s="54">
        <v>0</v>
      </c>
      <c r="J184" s="54">
        <v>0</v>
      </c>
      <c r="K184" s="54">
        <v>0</v>
      </c>
      <c r="L184" s="54">
        <v>0</v>
      </c>
      <c r="M184" s="43"/>
      <c r="N184" s="54">
        <v>0</v>
      </c>
      <c r="O184" s="54">
        <v>0</v>
      </c>
      <c r="P184" s="54">
        <v>0</v>
      </c>
      <c r="Q184" s="54">
        <v>722.07</v>
      </c>
    </row>
    <row r="185" spans="1:17" ht="26.45">
      <c r="A185" s="47">
        <v>2024</v>
      </c>
      <c r="B185" s="50" t="s">
        <v>1411</v>
      </c>
      <c r="C185" s="50" t="s">
        <v>9005</v>
      </c>
      <c r="D185" s="47" t="s">
        <v>227</v>
      </c>
      <c r="E185" s="48" t="s">
        <v>843</v>
      </c>
      <c r="F185" s="53">
        <v>172203.73</v>
      </c>
      <c r="G185" s="53">
        <v>88616.45</v>
      </c>
      <c r="H185" s="53">
        <v>0</v>
      </c>
      <c r="I185" s="53">
        <v>0</v>
      </c>
      <c r="J185" s="53">
        <v>0</v>
      </c>
      <c r="K185" s="53">
        <v>0</v>
      </c>
      <c r="L185" s="53">
        <v>0</v>
      </c>
      <c r="M185" s="43"/>
      <c r="N185" s="53">
        <v>0</v>
      </c>
      <c r="O185" s="53">
        <v>0</v>
      </c>
      <c r="P185" s="53">
        <v>0</v>
      </c>
      <c r="Q185" s="53">
        <v>260820.18</v>
      </c>
    </row>
    <row r="186" spans="1:17" ht="26.45">
      <c r="A186" s="44">
        <v>2024</v>
      </c>
      <c r="B186" s="46" t="s">
        <v>1411</v>
      </c>
      <c r="C186" s="46" t="s">
        <v>9005</v>
      </c>
      <c r="D186" s="44" t="s">
        <v>228</v>
      </c>
      <c r="E186" s="45" t="s">
        <v>844</v>
      </c>
      <c r="F186" s="54">
        <v>899.1</v>
      </c>
      <c r="G186" s="54">
        <v>0</v>
      </c>
      <c r="H186" s="54">
        <v>0</v>
      </c>
      <c r="I186" s="54">
        <v>0</v>
      </c>
      <c r="J186" s="54">
        <v>0</v>
      </c>
      <c r="K186" s="54">
        <v>0</v>
      </c>
      <c r="L186" s="54">
        <v>0</v>
      </c>
      <c r="M186" s="43"/>
      <c r="N186" s="54">
        <v>0</v>
      </c>
      <c r="O186" s="54">
        <v>0</v>
      </c>
      <c r="P186" s="54">
        <v>0</v>
      </c>
      <c r="Q186" s="54">
        <v>899.1</v>
      </c>
    </row>
    <row r="187" spans="1:17" ht="26.45">
      <c r="A187" s="47">
        <v>2024</v>
      </c>
      <c r="B187" s="50" t="s">
        <v>1411</v>
      </c>
      <c r="C187" s="50" t="s">
        <v>9005</v>
      </c>
      <c r="D187" s="47" t="s">
        <v>229</v>
      </c>
      <c r="E187" s="48" t="s">
        <v>845</v>
      </c>
      <c r="F187" s="53">
        <v>74956.259999999995</v>
      </c>
      <c r="G187" s="53">
        <v>26871.22</v>
      </c>
      <c r="H187" s="53">
        <v>0</v>
      </c>
      <c r="I187" s="53">
        <v>0</v>
      </c>
      <c r="J187" s="53">
        <v>0</v>
      </c>
      <c r="K187" s="53">
        <v>0</v>
      </c>
      <c r="L187" s="53">
        <v>0</v>
      </c>
      <c r="M187" s="43"/>
      <c r="N187" s="53">
        <v>0</v>
      </c>
      <c r="O187" s="53">
        <v>0</v>
      </c>
      <c r="P187" s="53">
        <v>0</v>
      </c>
      <c r="Q187" s="53">
        <v>101827.48</v>
      </c>
    </row>
    <row r="188" spans="1:17" ht="26.45">
      <c r="A188" s="47">
        <v>2024</v>
      </c>
      <c r="B188" s="50" t="s">
        <v>1411</v>
      </c>
      <c r="C188" s="50" t="s">
        <v>9005</v>
      </c>
      <c r="D188" s="47" t="s">
        <v>230</v>
      </c>
      <c r="E188" s="48" t="s">
        <v>848</v>
      </c>
      <c r="F188" s="53">
        <v>380.54</v>
      </c>
      <c r="G188" s="53">
        <v>0</v>
      </c>
      <c r="H188" s="53">
        <v>0</v>
      </c>
      <c r="I188" s="53">
        <v>0</v>
      </c>
      <c r="J188" s="53">
        <v>0</v>
      </c>
      <c r="K188" s="53">
        <v>0</v>
      </c>
      <c r="L188" s="53">
        <v>-380.54</v>
      </c>
      <c r="M188" s="43"/>
      <c r="N188" s="53">
        <v>0</v>
      </c>
      <c r="O188" s="53">
        <v>0</v>
      </c>
      <c r="P188" s="53">
        <v>0</v>
      </c>
      <c r="Q188" s="53">
        <v>0</v>
      </c>
    </row>
    <row r="189" spans="1:17" ht="26.45">
      <c r="A189" s="44">
        <v>2024</v>
      </c>
      <c r="B189" s="46" t="s">
        <v>1411</v>
      </c>
      <c r="C189" s="46" t="s">
        <v>9005</v>
      </c>
      <c r="D189" s="44" t="s">
        <v>231</v>
      </c>
      <c r="E189" s="45" t="s">
        <v>849</v>
      </c>
      <c r="F189" s="54">
        <v>9751.0400000000009</v>
      </c>
      <c r="G189" s="54">
        <v>8445.52</v>
      </c>
      <c r="H189" s="54">
        <v>0</v>
      </c>
      <c r="I189" s="54">
        <v>0</v>
      </c>
      <c r="J189" s="54">
        <v>0</v>
      </c>
      <c r="K189" s="54">
        <v>0</v>
      </c>
      <c r="L189" s="54">
        <v>0</v>
      </c>
      <c r="M189" s="43"/>
      <c r="N189" s="54">
        <v>0</v>
      </c>
      <c r="O189" s="54">
        <v>0</v>
      </c>
      <c r="P189" s="54">
        <v>0</v>
      </c>
      <c r="Q189" s="54">
        <v>18196.560000000001</v>
      </c>
    </row>
    <row r="190" spans="1:17" ht="26.45">
      <c r="A190" s="44">
        <v>2024</v>
      </c>
      <c r="B190" s="46" t="s">
        <v>1411</v>
      </c>
      <c r="C190" s="46" t="s">
        <v>9005</v>
      </c>
      <c r="D190" s="44" t="s">
        <v>232</v>
      </c>
      <c r="E190" s="45" t="s">
        <v>852</v>
      </c>
      <c r="F190" s="54">
        <v>1231.94</v>
      </c>
      <c r="G190" s="54">
        <v>0</v>
      </c>
      <c r="H190" s="54">
        <v>0</v>
      </c>
      <c r="I190" s="54">
        <v>0</v>
      </c>
      <c r="J190" s="54">
        <v>0</v>
      </c>
      <c r="K190" s="54">
        <v>0</v>
      </c>
      <c r="L190" s="54">
        <v>0</v>
      </c>
      <c r="M190" s="43"/>
      <c r="N190" s="54">
        <v>0</v>
      </c>
      <c r="O190" s="54">
        <v>0</v>
      </c>
      <c r="P190" s="54">
        <v>0</v>
      </c>
      <c r="Q190" s="54">
        <v>1231.94</v>
      </c>
    </row>
    <row r="191" spans="1:17" ht="26.45">
      <c r="A191" s="47">
        <v>2024</v>
      </c>
      <c r="B191" s="50" t="s">
        <v>1411</v>
      </c>
      <c r="C191" s="50" t="s">
        <v>9005</v>
      </c>
      <c r="D191" s="47" t="s">
        <v>233</v>
      </c>
      <c r="E191" s="48" t="s">
        <v>853</v>
      </c>
      <c r="F191" s="53">
        <v>495.96</v>
      </c>
      <c r="G191" s="53">
        <v>0</v>
      </c>
      <c r="H191" s="53">
        <v>0</v>
      </c>
      <c r="I191" s="53">
        <v>0</v>
      </c>
      <c r="J191" s="53">
        <v>0</v>
      </c>
      <c r="K191" s="53">
        <v>0</v>
      </c>
      <c r="L191" s="53">
        <v>0</v>
      </c>
      <c r="M191" s="43"/>
      <c r="N191" s="53">
        <v>0</v>
      </c>
      <c r="O191" s="53">
        <v>0</v>
      </c>
      <c r="P191" s="53">
        <v>0</v>
      </c>
      <c r="Q191" s="53">
        <v>495.96</v>
      </c>
    </row>
    <row r="192" spans="1:17" ht="26.45">
      <c r="A192" s="44">
        <v>2024</v>
      </c>
      <c r="B192" s="46" t="s">
        <v>1411</v>
      </c>
      <c r="C192" s="46" t="s">
        <v>9005</v>
      </c>
      <c r="D192" s="44" t="s">
        <v>234</v>
      </c>
      <c r="E192" s="45" t="s">
        <v>854</v>
      </c>
      <c r="F192" s="54">
        <v>461.4</v>
      </c>
      <c r="G192" s="54">
        <v>0</v>
      </c>
      <c r="H192" s="54">
        <v>0</v>
      </c>
      <c r="I192" s="54">
        <v>0</v>
      </c>
      <c r="J192" s="54">
        <v>0</v>
      </c>
      <c r="K192" s="54">
        <v>0</v>
      </c>
      <c r="L192" s="54">
        <v>0</v>
      </c>
      <c r="M192" s="43"/>
      <c r="N192" s="54">
        <v>0</v>
      </c>
      <c r="O192" s="54">
        <v>0</v>
      </c>
      <c r="P192" s="54">
        <v>0</v>
      </c>
      <c r="Q192" s="54">
        <v>461.4</v>
      </c>
    </row>
    <row r="193" spans="1:17" ht="26.45">
      <c r="A193" s="44">
        <v>2024</v>
      </c>
      <c r="B193" s="46" t="s">
        <v>1411</v>
      </c>
      <c r="C193" s="46" t="s">
        <v>9005</v>
      </c>
      <c r="D193" s="44" t="s">
        <v>235</v>
      </c>
      <c r="E193" s="45" t="s">
        <v>857</v>
      </c>
      <c r="F193" s="54">
        <v>358.85</v>
      </c>
      <c r="G193" s="54">
        <v>0</v>
      </c>
      <c r="H193" s="54">
        <v>0</v>
      </c>
      <c r="I193" s="54">
        <v>0</v>
      </c>
      <c r="J193" s="54">
        <v>0</v>
      </c>
      <c r="K193" s="54">
        <v>0</v>
      </c>
      <c r="L193" s="54">
        <v>0</v>
      </c>
      <c r="M193" s="43"/>
      <c r="N193" s="54">
        <v>0</v>
      </c>
      <c r="O193" s="54">
        <v>0</v>
      </c>
      <c r="P193" s="54">
        <v>0</v>
      </c>
      <c r="Q193" s="54">
        <v>358.85</v>
      </c>
    </row>
    <row r="194" spans="1:17" ht="26.45">
      <c r="A194" s="47">
        <v>2024</v>
      </c>
      <c r="B194" s="50" t="s">
        <v>1411</v>
      </c>
      <c r="C194" s="50" t="s">
        <v>9005</v>
      </c>
      <c r="D194" s="47" t="s">
        <v>236</v>
      </c>
      <c r="E194" s="48" t="s">
        <v>858</v>
      </c>
      <c r="F194" s="53">
        <v>403.6</v>
      </c>
      <c r="G194" s="53">
        <v>0</v>
      </c>
      <c r="H194" s="53">
        <v>0</v>
      </c>
      <c r="I194" s="53">
        <v>0</v>
      </c>
      <c r="J194" s="53">
        <v>0</v>
      </c>
      <c r="K194" s="53">
        <v>0</v>
      </c>
      <c r="L194" s="53">
        <v>0</v>
      </c>
      <c r="M194" s="43"/>
      <c r="N194" s="53">
        <v>0</v>
      </c>
      <c r="O194" s="53">
        <v>0</v>
      </c>
      <c r="P194" s="53">
        <v>0</v>
      </c>
      <c r="Q194" s="53">
        <v>403.6</v>
      </c>
    </row>
    <row r="195" spans="1:17" ht="26.45">
      <c r="A195" s="44">
        <v>2024</v>
      </c>
      <c r="B195" s="46" t="s">
        <v>1411</v>
      </c>
      <c r="C195" s="46" t="s">
        <v>9005</v>
      </c>
      <c r="D195" s="44" t="s">
        <v>237</v>
      </c>
      <c r="E195" s="45" t="s">
        <v>859</v>
      </c>
      <c r="F195" s="54">
        <v>1617.09</v>
      </c>
      <c r="G195" s="54">
        <v>0</v>
      </c>
      <c r="H195" s="54">
        <v>0</v>
      </c>
      <c r="I195" s="54">
        <v>0</v>
      </c>
      <c r="J195" s="54">
        <v>0</v>
      </c>
      <c r="K195" s="54">
        <v>0</v>
      </c>
      <c r="L195" s="54">
        <v>0</v>
      </c>
      <c r="M195" s="43"/>
      <c r="N195" s="54">
        <v>0</v>
      </c>
      <c r="O195" s="54">
        <v>0</v>
      </c>
      <c r="P195" s="54">
        <v>0</v>
      </c>
      <c r="Q195" s="54">
        <v>1617.09</v>
      </c>
    </row>
    <row r="196" spans="1:17" ht="52.9">
      <c r="A196" s="47">
        <v>2024</v>
      </c>
      <c r="B196" s="50" t="s">
        <v>1411</v>
      </c>
      <c r="C196" s="50" t="s">
        <v>9005</v>
      </c>
      <c r="D196" s="47" t="s">
        <v>238</v>
      </c>
      <c r="E196" s="48" t="s">
        <v>860</v>
      </c>
      <c r="F196" s="53">
        <v>1283.3599999999999</v>
      </c>
      <c r="G196" s="53">
        <v>0</v>
      </c>
      <c r="H196" s="53">
        <v>0</v>
      </c>
      <c r="I196" s="53">
        <v>0</v>
      </c>
      <c r="J196" s="53">
        <v>0</v>
      </c>
      <c r="K196" s="53">
        <v>0</v>
      </c>
      <c r="L196" s="53">
        <v>-1283.3599999999999</v>
      </c>
      <c r="M196" s="43"/>
      <c r="N196" s="53">
        <v>0</v>
      </c>
      <c r="O196" s="53">
        <v>0</v>
      </c>
      <c r="P196" s="53">
        <v>0</v>
      </c>
      <c r="Q196" s="53">
        <v>0</v>
      </c>
    </row>
    <row r="197" spans="1:17" ht="26.45">
      <c r="A197" s="44">
        <v>2024</v>
      </c>
      <c r="B197" s="46" t="s">
        <v>1411</v>
      </c>
      <c r="C197" s="46" t="s">
        <v>9005</v>
      </c>
      <c r="D197" s="44" t="s">
        <v>239</v>
      </c>
      <c r="E197" s="45" t="s">
        <v>861</v>
      </c>
      <c r="F197" s="54">
        <v>468</v>
      </c>
      <c r="G197" s="54">
        <v>0</v>
      </c>
      <c r="H197" s="54">
        <v>0</v>
      </c>
      <c r="I197" s="54">
        <v>0</v>
      </c>
      <c r="J197" s="54">
        <v>0</v>
      </c>
      <c r="K197" s="54">
        <v>0</v>
      </c>
      <c r="L197" s="54">
        <v>0</v>
      </c>
      <c r="M197" s="43"/>
      <c r="N197" s="54">
        <v>0</v>
      </c>
      <c r="O197" s="54">
        <v>0</v>
      </c>
      <c r="P197" s="54">
        <v>0</v>
      </c>
      <c r="Q197" s="54">
        <v>468</v>
      </c>
    </row>
    <row r="198" spans="1:17" ht="26.45">
      <c r="A198" s="47">
        <v>2024</v>
      </c>
      <c r="B198" s="50" t="s">
        <v>1411</v>
      </c>
      <c r="C198" s="50" t="s">
        <v>9005</v>
      </c>
      <c r="D198" s="47" t="s">
        <v>240</v>
      </c>
      <c r="E198" s="48" t="s">
        <v>862</v>
      </c>
      <c r="F198" s="53">
        <v>935.93</v>
      </c>
      <c r="G198" s="53">
        <v>963.7</v>
      </c>
      <c r="H198" s="53">
        <v>0</v>
      </c>
      <c r="I198" s="53">
        <v>0</v>
      </c>
      <c r="J198" s="53">
        <v>0</v>
      </c>
      <c r="K198" s="53">
        <v>0</v>
      </c>
      <c r="L198" s="53">
        <v>0</v>
      </c>
      <c r="M198" s="43"/>
      <c r="N198" s="53">
        <v>0</v>
      </c>
      <c r="O198" s="53">
        <v>0</v>
      </c>
      <c r="P198" s="53">
        <v>0</v>
      </c>
      <c r="Q198" s="53">
        <v>1899.63</v>
      </c>
    </row>
    <row r="199" spans="1:17" ht="26.45">
      <c r="A199" s="44">
        <v>2024</v>
      </c>
      <c r="B199" s="46" t="s">
        <v>1411</v>
      </c>
      <c r="C199" s="46" t="s">
        <v>9005</v>
      </c>
      <c r="D199" s="44" t="s">
        <v>241</v>
      </c>
      <c r="E199" s="45" t="s">
        <v>863</v>
      </c>
      <c r="F199" s="54">
        <v>102.28</v>
      </c>
      <c r="G199" s="54">
        <v>0</v>
      </c>
      <c r="H199" s="54">
        <v>0</v>
      </c>
      <c r="I199" s="54">
        <v>0</v>
      </c>
      <c r="J199" s="54">
        <v>0</v>
      </c>
      <c r="K199" s="54">
        <v>0</v>
      </c>
      <c r="L199" s="54">
        <v>0</v>
      </c>
      <c r="M199" s="43"/>
      <c r="N199" s="54">
        <v>0</v>
      </c>
      <c r="O199" s="54">
        <v>0</v>
      </c>
      <c r="P199" s="54">
        <v>0</v>
      </c>
      <c r="Q199" s="54">
        <v>102.28</v>
      </c>
    </row>
    <row r="200" spans="1:17" ht="26.45">
      <c r="A200" s="47">
        <v>2024</v>
      </c>
      <c r="B200" s="50" t="s">
        <v>1411</v>
      </c>
      <c r="C200" s="50" t="s">
        <v>9005</v>
      </c>
      <c r="D200" s="47" t="s">
        <v>242</v>
      </c>
      <c r="E200" s="48" t="s">
        <v>864</v>
      </c>
      <c r="F200" s="53">
        <v>2932.17</v>
      </c>
      <c r="G200" s="53">
        <v>971.2</v>
      </c>
      <c r="H200" s="53">
        <v>0</v>
      </c>
      <c r="I200" s="53">
        <v>0</v>
      </c>
      <c r="J200" s="53">
        <v>0</v>
      </c>
      <c r="K200" s="53">
        <v>0</v>
      </c>
      <c r="L200" s="53">
        <v>0</v>
      </c>
      <c r="M200" s="43"/>
      <c r="N200" s="53">
        <v>0</v>
      </c>
      <c r="O200" s="53">
        <v>0</v>
      </c>
      <c r="P200" s="53">
        <v>0</v>
      </c>
      <c r="Q200" s="53">
        <v>3903.37</v>
      </c>
    </row>
    <row r="201" spans="1:17" ht="26.45">
      <c r="A201" s="44">
        <v>2024</v>
      </c>
      <c r="B201" s="46" t="s">
        <v>1411</v>
      </c>
      <c r="C201" s="46" t="s">
        <v>9005</v>
      </c>
      <c r="D201" s="44" t="s">
        <v>243</v>
      </c>
      <c r="E201" s="45" t="s">
        <v>865</v>
      </c>
      <c r="F201" s="54">
        <v>513.33000000000004</v>
      </c>
      <c r="G201" s="54">
        <v>0</v>
      </c>
      <c r="H201" s="54">
        <v>0</v>
      </c>
      <c r="I201" s="54">
        <v>0</v>
      </c>
      <c r="J201" s="54">
        <v>0</v>
      </c>
      <c r="K201" s="54">
        <v>0</v>
      </c>
      <c r="L201" s="54">
        <v>-513.33000000000004</v>
      </c>
      <c r="M201" s="43"/>
      <c r="N201" s="54">
        <v>0</v>
      </c>
      <c r="O201" s="54">
        <v>0</v>
      </c>
      <c r="P201" s="54">
        <v>0</v>
      </c>
      <c r="Q201" s="54">
        <v>0</v>
      </c>
    </row>
    <row r="202" spans="1:17" ht="26.45">
      <c r="A202" s="47">
        <v>2024</v>
      </c>
      <c r="B202" s="50" t="s">
        <v>1411</v>
      </c>
      <c r="C202" s="50" t="s">
        <v>9005</v>
      </c>
      <c r="D202" s="47" t="s">
        <v>244</v>
      </c>
      <c r="E202" s="48" t="s">
        <v>870</v>
      </c>
      <c r="F202" s="53">
        <v>1014.88</v>
      </c>
      <c r="G202" s="53">
        <v>0</v>
      </c>
      <c r="H202" s="53">
        <v>0</v>
      </c>
      <c r="I202" s="53">
        <v>0</v>
      </c>
      <c r="J202" s="53">
        <v>0</v>
      </c>
      <c r="K202" s="53">
        <v>0</v>
      </c>
      <c r="L202" s="53">
        <v>0</v>
      </c>
      <c r="M202" s="43"/>
      <c r="N202" s="53">
        <v>0</v>
      </c>
      <c r="O202" s="53">
        <v>0</v>
      </c>
      <c r="P202" s="53">
        <v>0</v>
      </c>
      <c r="Q202" s="53">
        <v>1014.88</v>
      </c>
    </row>
    <row r="203" spans="1:17" ht="26.45">
      <c r="A203" s="44">
        <v>2024</v>
      </c>
      <c r="B203" s="46" t="s">
        <v>1411</v>
      </c>
      <c r="C203" s="46" t="s">
        <v>9005</v>
      </c>
      <c r="D203" s="44" t="s">
        <v>245</v>
      </c>
      <c r="E203" s="45" t="s">
        <v>871</v>
      </c>
      <c r="F203" s="54">
        <v>823.6</v>
      </c>
      <c r="G203" s="54">
        <v>0.3</v>
      </c>
      <c r="H203" s="54">
        <v>0</v>
      </c>
      <c r="I203" s="54">
        <v>0</v>
      </c>
      <c r="J203" s="54">
        <v>0</v>
      </c>
      <c r="K203" s="54">
        <v>0</v>
      </c>
      <c r="L203" s="54">
        <v>0</v>
      </c>
      <c r="M203" s="43"/>
      <c r="N203" s="54">
        <v>0</v>
      </c>
      <c r="O203" s="54">
        <v>0</v>
      </c>
      <c r="P203" s="54">
        <v>0</v>
      </c>
      <c r="Q203" s="54">
        <v>823.9</v>
      </c>
    </row>
    <row r="204" spans="1:17" ht="26.45">
      <c r="A204" s="47">
        <v>2024</v>
      </c>
      <c r="B204" s="50" t="s">
        <v>1411</v>
      </c>
      <c r="C204" s="50" t="s">
        <v>9005</v>
      </c>
      <c r="D204" s="47" t="s">
        <v>246</v>
      </c>
      <c r="E204" s="48" t="s">
        <v>872</v>
      </c>
      <c r="F204" s="53">
        <v>356.01</v>
      </c>
      <c r="G204" s="53">
        <v>395.7</v>
      </c>
      <c r="H204" s="53">
        <v>0</v>
      </c>
      <c r="I204" s="53">
        <v>0</v>
      </c>
      <c r="J204" s="53">
        <v>0</v>
      </c>
      <c r="K204" s="53">
        <v>0</v>
      </c>
      <c r="L204" s="53">
        <v>0</v>
      </c>
      <c r="M204" s="43"/>
      <c r="N204" s="53">
        <v>0</v>
      </c>
      <c r="O204" s="53">
        <v>0</v>
      </c>
      <c r="P204" s="53">
        <v>0</v>
      </c>
      <c r="Q204" s="53">
        <v>751.71</v>
      </c>
    </row>
    <row r="205" spans="1:17" ht="26.45">
      <c r="A205" s="47">
        <v>2024</v>
      </c>
      <c r="B205" s="50" t="s">
        <v>1411</v>
      </c>
      <c r="C205" s="50" t="s">
        <v>9005</v>
      </c>
      <c r="D205" s="47" t="s">
        <v>247</v>
      </c>
      <c r="E205" s="48" t="s">
        <v>875</v>
      </c>
      <c r="F205" s="53">
        <v>29865.1</v>
      </c>
      <c r="G205" s="53">
        <v>18274.099999999999</v>
      </c>
      <c r="H205" s="53">
        <v>0</v>
      </c>
      <c r="I205" s="53">
        <v>0</v>
      </c>
      <c r="J205" s="53">
        <v>0</v>
      </c>
      <c r="K205" s="53">
        <v>0</v>
      </c>
      <c r="L205" s="53">
        <v>0</v>
      </c>
      <c r="M205" s="43"/>
      <c r="N205" s="53">
        <v>0</v>
      </c>
      <c r="O205" s="53">
        <v>0</v>
      </c>
      <c r="P205" s="53">
        <v>0</v>
      </c>
      <c r="Q205" s="53">
        <v>48139.199999999997</v>
      </c>
    </row>
    <row r="206" spans="1:17" ht="26.45">
      <c r="A206" s="44">
        <v>2024</v>
      </c>
      <c r="B206" s="46" t="s">
        <v>1411</v>
      </c>
      <c r="C206" s="46" t="s">
        <v>9005</v>
      </c>
      <c r="D206" s="44" t="s">
        <v>248</v>
      </c>
      <c r="E206" s="45" t="s">
        <v>876</v>
      </c>
      <c r="F206" s="54">
        <v>207.67</v>
      </c>
      <c r="G206" s="54">
        <v>0</v>
      </c>
      <c r="H206" s="54">
        <v>0</v>
      </c>
      <c r="I206" s="54">
        <v>0</v>
      </c>
      <c r="J206" s="54">
        <v>0</v>
      </c>
      <c r="K206" s="54">
        <v>0</v>
      </c>
      <c r="L206" s="54">
        <v>0</v>
      </c>
      <c r="M206" s="43"/>
      <c r="N206" s="54">
        <v>0</v>
      </c>
      <c r="O206" s="54">
        <v>0</v>
      </c>
      <c r="P206" s="54">
        <v>0</v>
      </c>
      <c r="Q206" s="54">
        <v>207.67</v>
      </c>
    </row>
    <row r="207" spans="1:17" ht="26.45">
      <c r="A207" s="47">
        <v>2024</v>
      </c>
      <c r="B207" s="50" t="s">
        <v>1411</v>
      </c>
      <c r="C207" s="50" t="s">
        <v>9005</v>
      </c>
      <c r="D207" s="47" t="s">
        <v>249</v>
      </c>
      <c r="E207" s="48" t="s">
        <v>877</v>
      </c>
      <c r="F207" s="53">
        <v>827.21</v>
      </c>
      <c r="G207" s="53">
        <v>1175.4100000000001</v>
      </c>
      <c r="H207" s="53">
        <v>0</v>
      </c>
      <c r="I207" s="53">
        <v>0</v>
      </c>
      <c r="J207" s="53">
        <v>0</v>
      </c>
      <c r="K207" s="53">
        <v>0</v>
      </c>
      <c r="L207" s="53">
        <v>0</v>
      </c>
      <c r="M207" s="43"/>
      <c r="N207" s="53">
        <v>0</v>
      </c>
      <c r="O207" s="53">
        <v>0</v>
      </c>
      <c r="P207" s="53">
        <v>0</v>
      </c>
      <c r="Q207" s="53">
        <v>2002.62</v>
      </c>
    </row>
    <row r="208" spans="1:17" ht="26.45">
      <c r="A208" s="44">
        <v>2024</v>
      </c>
      <c r="B208" s="46" t="s">
        <v>1411</v>
      </c>
      <c r="C208" s="46" t="s">
        <v>9005</v>
      </c>
      <c r="D208" s="44" t="s">
        <v>250</v>
      </c>
      <c r="E208" s="45" t="s">
        <v>878</v>
      </c>
      <c r="F208" s="54">
        <v>13710.38</v>
      </c>
      <c r="G208" s="54">
        <v>0</v>
      </c>
      <c r="H208" s="54">
        <v>0</v>
      </c>
      <c r="I208" s="54">
        <v>0</v>
      </c>
      <c r="J208" s="54">
        <v>0</v>
      </c>
      <c r="K208" s="54">
        <v>0</v>
      </c>
      <c r="L208" s="54">
        <v>0</v>
      </c>
      <c r="M208" s="43"/>
      <c r="N208" s="54">
        <v>0</v>
      </c>
      <c r="O208" s="54">
        <v>0</v>
      </c>
      <c r="P208" s="54">
        <v>0</v>
      </c>
      <c r="Q208" s="54">
        <v>13710.38</v>
      </c>
    </row>
    <row r="209" spans="1:17" ht="26.45">
      <c r="A209" s="47">
        <v>2024</v>
      </c>
      <c r="B209" s="50" t="s">
        <v>1411</v>
      </c>
      <c r="C209" s="50" t="s">
        <v>9005</v>
      </c>
      <c r="D209" s="47" t="s">
        <v>251</v>
      </c>
      <c r="E209" s="48" t="s">
        <v>880</v>
      </c>
      <c r="F209" s="53">
        <v>790.73</v>
      </c>
      <c r="G209" s="53">
        <v>0</v>
      </c>
      <c r="H209" s="53">
        <v>0</v>
      </c>
      <c r="I209" s="53">
        <v>0</v>
      </c>
      <c r="J209" s="53">
        <v>0</v>
      </c>
      <c r="K209" s="53">
        <v>0</v>
      </c>
      <c r="L209" s="53">
        <v>-790.73</v>
      </c>
      <c r="M209" s="43"/>
      <c r="N209" s="53">
        <v>0</v>
      </c>
      <c r="O209" s="53">
        <v>0</v>
      </c>
      <c r="P209" s="53">
        <v>0</v>
      </c>
      <c r="Q209" s="53">
        <v>0</v>
      </c>
    </row>
    <row r="210" spans="1:17" ht="26.45">
      <c r="A210" s="47">
        <v>2024</v>
      </c>
      <c r="B210" s="50" t="s">
        <v>1411</v>
      </c>
      <c r="C210" s="50" t="s">
        <v>9005</v>
      </c>
      <c r="D210" s="47" t="s">
        <v>252</v>
      </c>
      <c r="E210" s="48" t="s">
        <v>881</v>
      </c>
      <c r="F210" s="53">
        <v>33117.129999999997</v>
      </c>
      <c r="G210" s="53">
        <v>31908.5</v>
      </c>
      <c r="H210" s="53">
        <v>0</v>
      </c>
      <c r="I210" s="53">
        <v>0</v>
      </c>
      <c r="J210" s="53">
        <v>0</v>
      </c>
      <c r="K210" s="53">
        <v>0</v>
      </c>
      <c r="L210" s="53">
        <v>0</v>
      </c>
      <c r="M210" s="43"/>
      <c r="N210" s="53">
        <v>0</v>
      </c>
      <c r="O210" s="53">
        <v>0</v>
      </c>
      <c r="P210" s="53">
        <v>0</v>
      </c>
      <c r="Q210" s="53">
        <v>65025.63</v>
      </c>
    </row>
    <row r="211" spans="1:17" ht="26.45">
      <c r="A211" s="44">
        <v>2024</v>
      </c>
      <c r="B211" s="46" t="s">
        <v>1411</v>
      </c>
      <c r="C211" s="46" t="s">
        <v>9005</v>
      </c>
      <c r="D211" s="44" t="s">
        <v>253</v>
      </c>
      <c r="E211" s="45" t="s">
        <v>882</v>
      </c>
      <c r="F211" s="54">
        <v>989.27</v>
      </c>
      <c r="G211" s="54">
        <v>985.3</v>
      </c>
      <c r="H211" s="54">
        <v>0</v>
      </c>
      <c r="I211" s="54">
        <v>0</v>
      </c>
      <c r="J211" s="54">
        <v>0</v>
      </c>
      <c r="K211" s="54">
        <v>0</v>
      </c>
      <c r="L211" s="54">
        <v>0</v>
      </c>
      <c r="M211" s="43"/>
      <c r="N211" s="54">
        <v>0</v>
      </c>
      <c r="O211" s="54">
        <v>0</v>
      </c>
      <c r="P211" s="54">
        <v>0</v>
      </c>
      <c r="Q211" s="54">
        <v>1974.57</v>
      </c>
    </row>
    <row r="212" spans="1:17" ht="26.45">
      <c r="A212" s="47">
        <v>2024</v>
      </c>
      <c r="B212" s="50" t="s">
        <v>1411</v>
      </c>
      <c r="C212" s="50" t="s">
        <v>9005</v>
      </c>
      <c r="D212" s="47" t="s">
        <v>254</v>
      </c>
      <c r="E212" s="48" t="s">
        <v>883</v>
      </c>
      <c r="F212" s="53">
        <v>1148.4100000000001</v>
      </c>
      <c r="G212" s="53">
        <v>1553.67</v>
      </c>
      <c r="H212" s="53">
        <v>0</v>
      </c>
      <c r="I212" s="53">
        <v>0</v>
      </c>
      <c r="J212" s="53">
        <v>0</v>
      </c>
      <c r="K212" s="53">
        <v>0</v>
      </c>
      <c r="L212" s="53">
        <v>0</v>
      </c>
      <c r="M212" s="43"/>
      <c r="N212" s="53">
        <v>0</v>
      </c>
      <c r="O212" s="53">
        <v>0</v>
      </c>
      <c r="P212" s="53">
        <v>0</v>
      </c>
      <c r="Q212" s="53">
        <v>2702.08</v>
      </c>
    </row>
    <row r="213" spans="1:17" ht="39.6">
      <c r="A213" s="44">
        <v>2024</v>
      </c>
      <c r="B213" s="46" t="s">
        <v>1411</v>
      </c>
      <c r="C213" s="46" t="s">
        <v>9005</v>
      </c>
      <c r="D213" s="44" t="s">
        <v>255</v>
      </c>
      <c r="E213" s="45" t="s">
        <v>888</v>
      </c>
      <c r="F213" s="54">
        <v>602.12</v>
      </c>
      <c r="G213" s="54">
        <v>707.9</v>
      </c>
      <c r="H213" s="54">
        <v>0</v>
      </c>
      <c r="I213" s="54">
        <v>0</v>
      </c>
      <c r="J213" s="54">
        <v>0</v>
      </c>
      <c r="K213" s="54">
        <v>0</v>
      </c>
      <c r="L213" s="54">
        <v>0</v>
      </c>
      <c r="M213" s="43"/>
      <c r="N213" s="54">
        <v>0</v>
      </c>
      <c r="O213" s="54">
        <v>0</v>
      </c>
      <c r="P213" s="54">
        <v>0</v>
      </c>
      <c r="Q213" s="54">
        <v>1310.02</v>
      </c>
    </row>
    <row r="214" spans="1:17" ht="39.6">
      <c r="A214" s="47">
        <v>2024</v>
      </c>
      <c r="B214" s="50" t="s">
        <v>1411</v>
      </c>
      <c r="C214" s="50" t="s">
        <v>9005</v>
      </c>
      <c r="D214" s="47" t="s">
        <v>256</v>
      </c>
      <c r="E214" s="48" t="s">
        <v>889</v>
      </c>
      <c r="F214" s="53">
        <v>2145.7399999999998</v>
      </c>
      <c r="G214" s="53">
        <v>0</v>
      </c>
      <c r="H214" s="53">
        <v>0</v>
      </c>
      <c r="I214" s="53">
        <v>0</v>
      </c>
      <c r="J214" s="53">
        <v>0</v>
      </c>
      <c r="K214" s="53">
        <v>0</v>
      </c>
      <c r="L214" s="53">
        <v>0</v>
      </c>
      <c r="M214" s="43"/>
      <c r="N214" s="53">
        <v>0</v>
      </c>
      <c r="O214" s="53">
        <v>0</v>
      </c>
      <c r="P214" s="53">
        <v>0</v>
      </c>
      <c r="Q214" s="53">
        <v>2145.7399999999998</v>
      </c>
    </row>
    <row r="215" spans="1:17" ht="26.45">
      <c r="A215" s="44">
        <v>2024</v>
      </c>
      <c r="B215" s="46" t="s">
        <v>1411</v>
      </c>
      <c r="C215" s="46" t="s">
        <v>9005</v>
      </c>
      <c r="D215" s="44" t="s">
        <v>257</v>
      </c>
      <c r="E215" s="45" t="s">
        <v>890</v>
      </c>
      <c r="F215" s="54">
        <v>834.26</v>
      </c>
      <c r="G215" s="54">
        <v>0</v>
      </c>
      <c r="H215" s="54">
        <v>0</v>
      </c>
      <c r="I215" s="54">
        <v>0</v>
      </c>
      <c r="J215" s="54">
        <v>0</v>
      </c>
      <c r="K215" s="54">
        <v>0</v>
      </c>
      <c r="L215" s="54">
        <v>0</v>
      </c>
      <c r="M215" s="43"/>
      <c r="N215" s="54">
        <v>0</v>
      </c>
      <c r="O215" s="54">
        <v>0</v>
      </c>
      <c r="P215" s="54">
        <v>0</v>
      </c>
      <c r="Q215" s="54">
        <v>834.26</v>
      </c>
    </row>
    <row r="216" spans="1:17" ht="26.45">
      <c r="A216" s="44">
        <v>2024</v>
      </c>
      <c r="B216" s="46" t="s">
        <v>1411</v>
      </c>
      <c r="C216" s="46" t="s">
        <v>9005</v>
      </c>
      <c r="D216" s="44" t="s">
        <v>258</v>
      </c>
      <c r="E216" s="45" t="s">
        <v>905</v>
      </c>
      <c r="F216" s="54">
        <v>1146.1199999999999</v>
      </c>
      <c r="G216" s="54">
        <v>0</v>
      </c>
      <c r="H216" s="54">
        <v>0</v>
      </c>
      <c r="I216" s="54">
        <v>0</v>
      </c>
      <c r="J216" s="54">
        <v>0</v>
      </c>
      <c r="K216" s="54">
        <v>0</v>
      </c>
      <c r="L216" s="54">
        <v>0</v>
      </c>
      <c r="M216" s="43"/>
      <c r="N216" s="54">
        <v>0</v>
      </c>
      <c r="O216" s="54">
        <v>0</v>
      </c>
      <c r="P216" s="54">
        <v>0</v>
      </c>
      <c r="Q216" s="54">
        <v>1146.1199999999999</v>
      </c>
    </row>
    <row r="217" spans="1:17" ht="26.45">
      <c r="A217" s="47">
        <v>2024</v>
      </c>
      <c r="B217" s="50" t="s">
        <v>1411</v>
      </c>
      <c r="C217" s="50" t="s">
        <v>9005</v>
      </c>
      <c r="D217" s="47" t="s">
        <v>259</v>
      </c>
      <c r="E217" s="48" t="s">
        <v>910</v>
      </c>
      <c r="F217" s="53">
        <v>57952.24</v>
      </c>
      <c r="G217" s="53">
        <v>23619.15</v>
      </c>
      <c r="H217" s="53">
        <v>0</v>
      </c>
      <c r="I217" s="53">
        <v>0</v>
      </c>
      <c r="J217" s="53">
        <v>0</v>
      </c>
      <c r="K217" s="53">
        <v>0</v>
      </c>
      <c r="L217" s="53">
        <v>0</v>
      </c>
      <c r="M217" s="43"/>
      <c r="N217" s="53">
        <v>0</v>
      </c>
      <c r="O217" s="53">
        <v>0</v>
      </c>
      <c r="P217" s="53">
        <v>0</v>
      </c>
      <c r="Q217" s="53">
        <v>81571.39</v>
      </c>
    </row>
    <row r="218" spans="1:17" ht="26.45">
      <c r="A218" s="44">
        <v>2024</v>
      </c>
      <c r="B218" s="46" t="s">
        <v>1411</v>
      </c>
      <c r="C218" s="46" t="s">
        <v>9005</v>
      </c>
      <c r="D218" s="44" t="s">
        <v>260</v>
      </c>
      <c r="E218" s="45" t="s">
        <v>911</v>
      </c>
      <c r="F218" s="54">
        <v>5599.22</v>
      </c>
      <c r="G218" s="54">
        <v>930.71</v>
      </c>
      <c r="H218" s="54">
        <v>0</v>
      </c>
      <c r="I218" s="54">
        <v>0</v>
      </c>
      <c r="J218" s="54">
        <v>0</v>
      </c>
      <c r="K218" s="54">
        <v>0</v>
      </c>
      <c r="L218" s="54">
        <v>0</v>
      </c>
      <c r="M218" s="43"/>
      <c r="N218" s="54">
        <v>0</v>
      </c>
      <c r="O218" s="54">
        <v>0</v>
      </c>
      <c r="P218" s="54">
        <v>0</v>
      </c>
      <c r="Q218" s="54">
        <v>6529.93</v>
      </c>
    </row>
    <row r="219" spans="1:17" ht="26.45">
      <c r="A219" s="47">
        <v>2024</v>
      </c>
      <c r="B219" s="50" t="s">
        <v>1411</v>
      </c>
      <c r="C219" s="50" t="s">
        <v>9005</v>
      </c>
      <c r="D219" s="47" t="s">
        <v>261</v>
      </c>
      <c r="E219" s="48" t="s">
        <v>916</v>
      </c>
      <c r="F219" s="53">
        <v>5877.2</v>
      </c>
      <c r="G219" s="53">
        <v>0</v>
      </c>
      <c r="H219" s="53">
        <v>0</v>
      </c>
      <c r="I219" s="53">
        <v>0</v>
      </c>
      <c r="J219" s="53">
        <v>0</v>
      </c>
      <c r="K219" s="53">
        <v>0</v>
      </c>
      <c r="L219" s="53">
        <v>0</v>
      </c>
      <c r="M219" s="43"/>
      <c r="N219" s="53">
        <v>0</v>
      </c>
      <c r="O219" s="53">
        <v>0</v>
      </c>
      <c r="P219" s="53">
        <v>0</v>
      </c>
      <c r="Q219" s="53">
        <v>5877.2</v>
      </c>
    </row>
    <row r="220" spans="1:17" ht="26.45">
      <c r="A220" s="44">
        <v>2024</v>
      </c>
      <c r="B220" s="46" t="s">
        <v>1411</v>
      </c>
      <c r="C220" s="46" t="s">
        <v>9005</v>
      </c>
      <c r="D220" s="44" t="s">
        <v>262</v>
      </c>
      <c r="E220" s="45" t="s">
        <v>917</v>
      </c>
      <c r="F220" s="54">
        <v>5572.1</v>
      </c>
      <c r="G220" s="54">
        <v>0</v>
      </c>
      <c r="H220" s="54">
        <v>0</v>
      </c>
      <c r="I220" s="54">
        <v>0</v>
      </c>
      <c r="J220" s="54">
        <v>0</v>
      </c>
      <c r="K220" s="54">
        <v>0</v>
      </c>
      <c r="L220" s="54">
        <v>0</v>
      </c>
      <c r="M220" s="43"/>
      <c r="N220" s="54">
        <v>0</v>
      </c>
      <c r="O220" s="54">
        <v>0</v>
      </c>
      <c r="P220" s="54">
        <v>0</v>
      </c>
      <c r="Q220" s="54">
        <v>5572.1</v>
      </c>
    </row>
    <row r="221" spans="1:17" ht="39.6">
      <c r="A221" s="47">
        <v>2024</v>
      </c>
      <c r="B221" s="50" t="s">
        <v>1411</v>
      </c>
      <c r="C221" s="50" t="s">
        <v>9005</v>
      </c>
      <c r="D221" s="47" t="s">
        <v>263</v>
      </c>
      <c r="E221" s="48" t="s">
        <v>918</v>
      </c>
      <c r="F221" s="53">
        <v>413.53</v>
      </c>
      <c r="G221" s="53">
        <v>0</v>
      </c>
      <c r="H221" s="53">
        <v>0</v>
      </c>
      <c r="I221" s="53">
        <v>0</v>
      </c>
      <c r="J221" s="53">
        <v>0</v>
      </c>
      <c r="K221" s="53">
        <v>0</v>
      </c>
      <c r="L221" s="53">
        <v>0</v>
      </c>
      <c r="M221" s="43"/>
      <c r="N221" s="53">
        <v>0</v>
      </c>
      <c r="O221" s="53">
        <v>0</v>
      </c>
      <c r="P221" s="53">
        <v>0</v>
      </c>
      <c r="Q221" s="53">
        <v>413.53</v>
      </c>
    </row>
    <row r="222" spans="1:17" ht="39.6">
      <c r="A222" s="44">
        <v>2024</v>
      </c>
      <c r="B222" s="46" t="s">
        <v>1411</v>
      </c>
      <c r="C222" s="46" t="s">
        <v>9005</v>
      </c>
      <c r="D222" s="44" t="s">
        <v>264</v>
      </c>
      <c r="E222" s="45" t="s">
        <v>919</v>
      </c>
      <c r="F222" s="54">
        <v>551.15</v>
      </c>
      <c r="G222" s="54">
        <v>0</v>
      </c>
      <c r="H222" s="54">
        <v>0</v>
      </c>
      <c r="I222" s="54">
        <v>0</v>
      </c>
      <c r="J222" s="54">
        <v>0</v>
      </c>
      <c r="K222" s="54">
        <v>0</v>
      </c>
      <c r="L222" s="54">
        <v>0</v>
      </c>
      <c r="M222" s="43"/>
      <c r="N222" s="54">
        <v>0</v>
      </c>
      <c r="O222" s="54">
        <v>0</v>
      </c>
      <c r="P222" s="54">
        <v>0</v>
      </c>
      <c r="Q222" s="54">
        <v>551.15</v>
      </c>
    </row>
    <row r="223" spans="1:17" ht="52.9">
      <c r="A223" s="47">
        <v>2024</v>
      </c>
      <c r="B223" s="50" t="s">
        <v>1411</v>
      </c>
      <c r="C223" s="50" t="s">
        <v>9005</v>
      </c>
      <c r="D223" s="47" t="s">
        <v>265</v>
      </c>
      <c r="E223" s="48" t="s">
        <v>920</v>
      </c>
      <c r="F223" s="53">
        <v>618.58000000000004</v>
      </c>
      <c r="G223" s="53">
        <v>0</v>
      </c>
      <c r="H223" s="53">
        <v>0</v>
      </c>
      <c r="I223" s="53">
        <v>0</v>
      </c>
      <c r="J223" s="53">
        <v>0</v>
      </c>
      <c r="K223" s="53">
        <v>0</v>
      </c>
      <c r="L223" s="53">
        <v>0</v>
      </c>
      <c r="M223" s="43"/>
      <c r="N223" s="53">
        <v>0</v>
      </c>
      <c r="O223" s="53">
        <v>0</v>
      </c>
      <c r="P223" s="53">
        <v>0</v>
      </c>
      <c r="Q223" s="53">
        <v>618.58000000000004</v>
      </c>
    </row>
    <row r="224" spans="1:17" ht="39.6">
      <c r="A224" s="47">
        <v>2024</v>
      </c>
      <c r="B224" s="50" t="s">
        <v>1411</v>
      </c>
      <c r="C224" s="50" t="s">
        <v>9005</v>
      </c>
      <c r="D224" s="47" t="s">
        <v>266</v>
      </c>
      <c r="E224" s="48" t="s">
        <v>923</v>
      </c>
      <c r="F224" s="53">
        <v>366.12</v>
      </c>
      <c r="G224" s="53">
        <v>0</v>
      </c>
      <c r="H224" s="53">
        <v>0</v>
      </c>
      <c r="I224" s="53">
        <v>0</v>
      </c>
      <c r="J224" s="53">
        <v>0</v>
      </c>
      <c r="K224" s="53">
        <v>0</v>
      </c>
      <c r="L224" s="53">
        <v>0</v>
      </c>
      <c r="M224" s="43"/>
      <c r="N224" s="53">
        <v>0</v>
      </c>
      <c r="O224" s="53">
        <v>0</v>
      </c>
      <c r="P224" s="53">
        <v>0</v>
      </c>
      <c r="Q224" s="53">
        <v>366.12</v>
      </c>
    </row>
    <row r="225" spans="1:17" ht="39.6">
      <c r="A225" s="44">
        <v>2024</v>
      </c>
      <c r="B225" s="46" t="s">
        <v>1411</v>
      </c>
      <c r="C225" s="46" t="s">
        <v>9005</v>
      </c>
      <c r="D225" s="44" t="s">
        <v>267</v>
      </c>
      <c r="E225" s="45" t="s">
        <v>924</v>
      </c>
      <c r="F225" s="54">
        <v>1555.5</v>
      </c>
      <c r="G225" s="54">
        <v>0</v>
      </c>
      <c r="H225" s="54">
        <v>0</v>
      </c>
      <c r="I225" s="54">
        <v>0</v>
      </c>
      <c r="J225" s="54">
        <v>0</v>
      </c>
      <c r="K225" s="54">
        <v>0</v>
      </c>
      <c r="L225" s="54">
        <v>0</v>
      </c>
      <c r="M225" s="43"/>
      <c r="N225" s="54">
        <v>0</v>
      </c>
      <c r="O225" s="54">
        <v>0</v>
      </c>
      <c r="P225" s="54">
        <v>0</v>
      </c>
      <c r="Q225" s="54">
        <v>1555.5</v>
      </c>
    </row>
    <row r="226" spans="1:17" ht="39.6">
      <c r="A226" s="47">
        <v>2024</v>
      </c>
      <c r="B226" s="50" t="s">
        <v>1411</v>
      </c>
      <c r="C226" s="50" t="s">
        <v>9005</v>
      </c>
      <c r="D226" s="47" t="s">
        <v>268</v>
      </c>
      <c r="E226" s="48" t="s">
        <v>925</v>
      </c>
      <c r="F226" s="53">
        <v>815.95</v>
      </c>
      <c r="G226" s="53">
        <v>0</v>
      </c>
      <c r="H226" s="53">
        <v>0</v>
      </c>
      <c r="I226" s="53">
        <v>0</v>
      </c>
      <c r="J226" s="53">
        <v>0</v>
      </c>
      <c r="K226" s="53">
        <v>0</v>
      </c>
      <c r="L226" s="53">
        <v>0</v>
      </c>
      <c r="M226" s="43"/>
      <c r="N226" s="53">
        <v>0</v>
      </c>
      <c r="O226" s="53">
        <v>0</v>
      </c>
      <c r="P226" s="53">
        <v>0</v>
      </c>
      <c r="Q226" s="53">
        <v>815.95</v>
      </c>
    </row>
    <row r="227" spans="1:17" ht="52.9">
      <c r="A227" s="47">
        <v>2024</v>
      </c>
      <c r="B227" s="50" t="s">
        <v>1411</v>
      </c>
      <c r="C227" s="50" t="s">
        <v>9005</v>
      </c>
      <c r="D227" s="47" t="s">
        <v>269</v>
      </c>
      <c r="E227" s="48" t="s">
        <v>932</v>
      </c>
      <c r="F227" s="53">
        <v>587.20000000000005</v>
      </c>
      <c r="G227" s="53">
        <v>0</v>
      </c>
      <c r="H227" s="53">
        <v>0</v>
      </c>
      <c r="I227" s="53">
        <v>0</v>
      </c>
      <c r="J227" s="53">
        <v>0</v>
      </c>
      <c r="K227" s="53">
        <v>0</v>
      </c>
      <c r="L227" s="53">
        <v>0</v>
      </c>
      <c r="M227" s="43"/>
      <c r="N227" s="53">
        <v>0</v>
      </c>
      <c r="O227" s="53">
        <v>0</v>
      </c>
      <c r="P227" s="53">
        <v>0</v>
      </c>
      <c r="Q227" s="53">
        <v>587.20000000000005</v>
      </c>
    </row>
    <row r="228" spans="1:17" ht="52.9">
      <c r="A228" s="47">
        <v>2024</v>
      </c>
      <c r="B228" s="50" t="s">
        <v>1411</v>
      </c>
      <c r="C228" s="50" t="s">
        <v>9005</v>
      </c>
      <c r="D228" s="47" t="s">
        <v>270</v>
      </c>
      <c r="E228" s="48" t="s">
        <v>939</v>
      </c>
      <c r="F228" s="53">
        <v>416.4</v>
      </c>
      <c r="G228" s="53">
        <v>0</v>
      </c>
      <c r="H228" s="53">
        <v>0</v>
      </c>
      <c r="I228" s="53">
        <v>0</v>
      </c>
      <c r="J228" s="53">
        <v>0</v>
      </c>
      <c r="K228" s="53">
        <v>0</v>
      </c>
      <c r="L228" s="53">
        <v>0</v>
      </c>
      <c r="M228" s="43"/>
      <c r="N228" s="53">
        <v>0</v>
      </c>
      <c r="O228" s="53">
        <v>0</v>
      </c>
      <c r="P228" s="53">
        <v>0</v>
      </c>
      <c r="Q228" s="53">
        <v>416.4</v>
      </c>
    </row>
    <row r="229" spans="1:17" ht="26.45">
      <c r="A229" s="47">
        <v>2024</v>
      </c>
      <c r="B229" s="50" t="s">
        <v>1411</v>
      </c>
      <c r="C229" s="50" t="s">
        <v>9005</v>
      </c>
      <c r="D229" s="47" t="s">
        <v>271</v>
      </c>
      <c r="E229" s="48" t="s">
        <v>942</v>
      </c>
      <c r="F229" s="53">
        <v>1281</v>
      </c>
      <c r="G229" s="53">
        <v>0</v>
      </c>
      <c r="H229" s="53">
        <v>0</v>
      </c>
      <c r="I229" s="53">
        <v>0</v>
      </c>
      <c r="J229" s="53">
        <v>0</v>
      </c>
      <c r="K229" s="53">
        <v>0</v>
      </c>
      <c r="L229" s="53">
        <v>0</v>
      </c>
      <c r="M229" s="43"/>
      <c r="N229" s="53">
        <v>0</v>
      </c>
      <c r="O229" s="53">
        <v>0</v>
      </c>
      <c r="P229" s="53">
        <v>0</v>
      </c>
      <c r="Q229" s="53">
        <v>1281</v>
      </c>
    </row>
    <row r="230" spans="1:17" ht="26.45">
      <c r="A230" s="44">
        <v>2024</v>
      </c>
      <c r="B230" s="46" t="s">
        <v>1411</v>
      </c>
      <c r="C230" s="46" t="s">
        <v>9005</v>
      </c>
      <c r="D230" s="44" t="s">
        <v>272</v>
      </c>
      <c r="E230" s="45" t="s">
        <v>943</v>
      </c>
      <c r="F230" s="54">
        <v>3866.78</v>
      </c>
      <c r="G230" s="54">
        <v>12.44</v>
      </c>
      <c r="H230" s="54">
        <v>0</v>
      </c>
      <c r="I230" s="54">
        <v>0</v>
      </c>
      <c r="J230" s="54">
        <v>0</v>
      </c>
      <c r="K230" s="54">
        <v>0</v>
      </c>
      <c r="L230" s="54">
        <v>0</v>
      </c>
      <c r="M230" s="43"/>
      <c r="N230" s="54">
        <v>0</v>
      </c>
      <c r="O230" s="54">
        <v>0</v>
      </c>
      <c r="P230" s="54">
        <v>0</v>
      </c>
      <c r="Q230" s="54">
        <v>3879.22</v>
      </c>
    </row>
    <row r="231" spans="1:17" ht="26.45">
      <c r="A231" s="47">
        <v>2024</v>
      </c>
      <c r="B231" s="50" t="s">
        <v>1411</v>
      </c>
      <c r="C231" s="50" t="s">
        <v>9005</v>
      </c>
      <c r="D231" s="47" t="s">
        <v>273</v>
      </c>
      <c r="E231" s="48" t="s">
        <v>948</v>
      </c>
      <c r="F231" s="53">
        <v>775.16</v>
      </c>
      <c r="G231" s="53">
        <v>0</v>
      </c>
      <c r="H231" s="53">
        <v>0</v>
      </c>
      <c r="I231" s="53">
        <v>0</v>
      </c>
      <c r="J231" s="53">
        <v>0</v>
      </c>
      <c r="K231" s="53">
        <v>0</v>
      </c>
      <c r="L231" s="53">
        <v>0</v>
      </c>
      <c r="M231" s="43"/>
      <c r="N231" s="53">
        <v>0</v>
      </c>
      <c r="O231" s="53">
        <v>0</v>
      </c>
      <c r="P231" s="53">
        <v>0</v>
      </c>
      <c r="Q231" s="53">
        <v>775.16</v>
      </c>
    </row>
    <row r="232" spans="1:17" ht="26.45">
      <c r="A232" s="44">
        <v>2024</v>
      </c>
      <c r="B232" s="46" t="s">
        <v>1411</v>
      </c>
      <c r="C232" s="46" t="s">
        <v>9005</v>
      </c>
      <c r="D232" s="44" t="s">
        <v>274</v>
      </c>
      <c r="E232" s="45" t="s">
        <v>949</v>
      </c>
      <c r="F232" s="54">
        <v>425.17</v>
      </c>
      <c r="G232" s="54">
        <v>629.27</v>
      </c>
      <c r="H232" s="54">
        <v>0</v>
      </c>
      <c r="I232" s="54">
        <v>0</v>
      </c>
      <c r="J232" s="54">
        <v>0</v>
      </c>
      <c r="K232" s="54">
        <v>0</v>
      </c>
      <c r="L232" s="54">
        <v>0</v>
      </c>
      <c r="M232" s="43"/>
      <c r="N232" s="54">
        <v>0</v>
      </c>
      <c r="O232" s="54">
        <v>0</v>
      </c>
      <c r="P232" s="54">
        <v>0</v>
      </c>
      <c r="Q232" s="54">
        <v>1054.44</v>
      </c>
    </row>
    <row r="233" spans="1:17" ht="26.45">
      <c r="A233" s="47">
        <v>2024</v>
      </c>
      <c r="B233" s="50" t="s">
        <v>1411</v>
      </c>
      <c r="C233" s="50" t="s">
        <v>9005</v>
      </c>
      <c r="D233" s="47" t="s">
        <v>275</v>
      </c>
      <c r="E233" s="48" t="s">
        <v>950</v>
      </c>
      <c r="F233" s="53">
        <v>1615.02</v>
      </c>
      <c r="G233" s="53">
        <v>0</v>
      </c>
      <c r="H233" s="53">
        <v>0</v>
      </c>
      <c r="I233" s="53">
        <v>0</v>
      </c>
      <c r="J233" s="53">
        <v>0</v>
      </c>
      <c r="K233" s="53">
        <v>0</v>
      </c>
      <c r="L233" s="53">
        <v>-1615.02</v>
      </c>
      <c r="M233" s="43"/>
      <c r="N233" s="53">
        <v>0</v>
      </c>
      <c r="O233" s="53">
        <v>0</v>
      </c>
      <c r="P233" s="53">
        <v>0</v>
      </c>
      <c r="Q233" s="53">
        <v>0</v>
      </c>
    </row>
    <row r="234" spans="1:17" ht="26.45">
      <c r="A234" s="44">
        <v>2024</v>
      </c>
      <c r="B234" s="46" t="s">
        <v>1411</v>
      </c>
      <c r="C234" s="46" t="s">
        <v>9005</v>
      </c>
      <c r="D234" s="44" t="s">
        <v>276</v>
      </c>
      <c r="E234" s="45" t="s">
        <v>951</v>
      </c>
      <c r="F234" s="54">
        <v>32203.8</v>
      </c>
      <c r="G234" s="54">
        <v>36871.589999999997</v>
      </c>
      <c r="H234" s="54">
        <v>0</v>
      </c>
      <c r="I234" s="54">
        <v>0</v>
      </c>
      <c r="J234" s="54">
        <v>0</v>
      </c>
      <c r="K234" s="54">
        <v>0</v>
      </c>
      <c r="L234" s="54">
        <v>0</v>
      </c>
      <c r="M234" s="43"/>
      <c r="N234" s="54">
        <v>0</v>
      </c>
      <c r="O234" s="54">
        <v>-2556.79</v>
      </c>
      <c r="P234" s="54">
        <v>0</v>
      </c>
      <c r="Q234" s="54">
        <v>66518.600000000006</v>
      </c>
    </row>
    <row r="235" spans="1:17" ht="26.45">
      <c r="A235" s="47">
        <v>2024</v>
      </c>
      <c r="B235" s="50" t="s">
        <v>1411</v>
      </c>
      <c r="C235" s="50" t="s">
        <v>9005</v>
      </c>
      <c r="D235" s="47" t="s">
        <v>277</v>
      </c>
      <c r="E235" s="48" t="s">
        <v>952</v>
      </c>
      <c r="F235" s="53">
        <v>631.72</v>
      </c>
      <c r="G235" s="53">
        <v>0</v>
      </c>
      <c r="H235" s="53">
        <v>0</v>
      </c>
      <c r="I235" s="53">
        <v>0</v>
      </c>
      <c r="J235" s="53">
        <v>0</v>
      </c>
      <c r="K235" s="53">
        <v>0</v>
      </c>
      <c r="L235" s="53">
        <v>0</v>
      </c>
      <c r="M235" s="43"/>
      <c r="N235" s="53">
        <v>0</v>
      </c>
      <c r="O235" s="53">
        <v>0</v>
      </c>
      <c r="P235" s="53">
        <v>0</v>
      </c>
      <c r="Q235" s="53">
        <v>631.72</v>
      </c>
    </row>
    <row r="236" spans="1:17" ht="26.45">
      <c r="A236" s="44">
        <v>2024</v>
      </c>
      <c r="B236" s="46" t="s">
        <v>1411</v>
      </c>
      <c r="C236" s="46" t="s">
        <v>9005</v>
      </c>
      <c r="D236" s="44" t="s">
        <v>278</v>
      </c>
      <c r="E236" s="45" t="s">
        <v>953</v>
      </c>
      <c r="F236" s="54">
        <v>119926.74</v>
      </c>
      <c r="G236" s="54">
        <v>45808.77</v>
      </c>
      <c r="H236" s="54">
        <v>0</v>
      </c>
      <c r="I236" s="54">
        <v>0</v>
      </c>
      <c r="J236" s="54">
        <v>0</v>
      </c>
      <c r="K236" s="54">
        <v>0</v>
      </c>
      <c r="L236" s="54">
        <v>0</v>
      </c>
      <c r="M236" s="43"/>
      <c r="N236" s="54">
        <v>0</v>
      </c>
      <c r="O236" s="54">
        <v>0</v>
      </c>
      <c r="P236" s="54">
        <v>0</v>
      </c>
      <c r="Q236" s="54">
        <v>165735.51</v>
      </c>
    </row>
    <row r="237" spans="1:17" ht="26.45">
      <c r="A237" s="44">
        <v>2024</v>
      </c>
      <c r="B237" s="46" t="s">
        <v>1411</v>
      </c>
      <c r="C237" s="46" t="s">
        <v>9005</v>
      </c>
      <c r="D237" s="44" t="s">
        <v>279</v>
      </c>
      <c r="E237" s="45" t="s">
        <v>956</v>
      </c>
      <c r="F237" s="54">
        <v>271.35000000000002</v>
      </c>
      <c r="G237" s="54">
        <v>0</v>
      </c>
      <c r="H237" s="54">
        <v>0</v>
      </c>
      <c r="I237" s="54">
        <v>0</v>
      </c>
      <c r="J237" s="54">
        <v>0</v>
      </c>
      <c r="K237" s="54">
        <v>0</v>
      </c>
      <c r="L237" s="54">
        <v>-271.35000000000002</v>
      </c>
      <c r="M237" s="43"/>
      <c r="N237" s="54">
        <v>0</v>
      </c>
      <c r="O237" s="54">
        <v>0</v>
      </c>
      <c r="P237" s="54">
        <v>0</v>
      </c>
      <c r="Q237" s="54">
        <v>0</v>
      </c>
    </row>
    <row r="238" spans="1:17" ht="26.45">
      <c r="A238" s="47">
        <v>2024</v>
      </c>
      <c r="B238" s="50" t="s">
        <v>1411</v>
      </c>
      <c r="C238" s="50" t="s">
        <v>9005</v>
      </c>
      <c r="D238" s="47" t="s">
        <v>280</v>
      </c>
      <c r="E238" s="48" t="s">
        <v>957</v>
      </c>
      <c r="F238" s="53">
        <v>24999.56</v>
      </c>
      <c r="G238" s="53">
        <v>25373.49</v>
      </c>
      <c r="H238" s="53">
        <v>0</v>
      </c>
      <c r="I238" s="53">
        <v>0</v>
      </c>
      <c r="J238" s="53">
        <v>0</v>
      </c>
      <c r="K238" s="53">
        <v>0</v>
      </c>
      <c r="L238" s="53">
        <v>0</v>
      </c>
      <c r="M238" s="43"/>
      <c r="N238" s="53">
        <v>0</v>
      </c>
      <c r="O238" s="53">
        <v>-5634.66</v>
      </c>
      <c r="P238" s="53">
        <v>0</v>
      </c>
      <c r="Q238" s="53">
        <v>44738.39</v>
      </c>
    </row>
    <row r="239" spans="1:17" ht="26.45">
      <c r="A239" s="44">
        <v>2024</v>
      </c>
      <c r="B239" s="46" t="s">
        <v>1411</v>
      </c>
      <c r="C239" s="46" t="s">
        <v>9005</v>
      </c>
      <c r="D239" s="44" t="s">
        <v>281</v>
      </c>
      <c r="E239" s="45" t="s">
        <v>958</v>
      </c>
      <c r="F239" s="54">
        <v>21350.34</v>
      </c>
      <c r="G239" s="54">
        <v>3218.08</v>
      </c>
      <c r="H239" s="54">
        <v>0</v>
      </c>
      <c r="I239" s="54">
        <v>0</v>
      </c>
      <c r="J239" s="54">
        <v>0</v>
      </c>
      <c r="K239" s="54">
        <v>0</v>
      </c>
      <c r="L239" s="54">
        <v>0</v>
      </c>
      <c r="M239" s="43"/>
      <c r="N239" s="54">
        <v>0</v>
      </c>
      <c r="O239" s="54">
        <v>0</v>
      </c>
      <c r="P239" s="54">
        <v>0</v>
      </c>
      <c r="Q239" s="54">
        <v>24568.42</v>
      </c>
    </row>
    <row r="240" spans="1:17" ht="26.45">
      <c r="A240" s="47">
        <v>2024</v>
      </c>
      <c r="B240" s="50" t="s">
        <v>1411</v>
      </c>
      <c r="C240" s="50" t="s">
        <v>9005</v>
      </c>
      <c r="D240" s="47" t="s">
        <v>282</v>
      </c>
      <c r="E240" s="48" t="s">
        <v>959</v>
      </c>
      <c r="F240" s="53">
        <v>1088.58</v>
      </c>
      <c r="G240" s="53">
        <v>0</v>
      </c>
      <c r="H240" s="53">
        <v>0</v>
      </c>
      <c r="I240" s="53">
        <v>0</v>
      </c>
      <c r="J240" s="53">
        <v>0</v>
      </c>
      <c r="K240" s="53">
        <v>0</v>
      </c>
      <c r="L240" s="53">
        <v>0</v>
      </c>
      <c r="M240" s="43"/>
      <c r="N240" s="53">
        <v>0</v>
      </c>
      <c r="O240" s="53">
        <v>0</v>
      </c>
      <c r="P240" s="53">
        <v>0</v>
      </c>
      <c r="Q240" s="53">
        <v>1088.58</v>
      </c>
    </row>
    <row r="241" spans="1:17" ht="26.45">
      <c r="A241" s="44">
        <v>2024</v>
      </c>
      <c r="B241" s="46" t="s">
        <v>1411</v>
      </c>
      <c r="C241" s="46" t="s">
        <v>9005</v>
      </c>
      <c r="D241" s="44" t="s">
        <v>283</v>
      </c>
      <c r="E241" s="45" t="s">
        <v>960</v>
      </c>
      <c r="F241" s="54">
        <v>801.97</v>
      </c>
      <c r="G241" s="54">
        <v>0</v>
      </c>
      <c r="H241" s="54">
        <v>0</v>
      </c>
      <c r="I241" s="54">
        <v>0</v>
      </c>
      <c r="J241" s="54">
        <v>0</v>
      </c>
      <c r="K241" s="54">
        <v>0</v>
      </c>
      <c r="L241" s="54">
        <v>0</v>
      </c>
      <c r="M241" s="43"/>
      <c r="N241" s="54">
        <v>0</v>
      </c>
      <c r="O241" s="54">
        <v>0</v>
      </c>
      <c r="P241" s="54">
        <v>0</v>
      </c>
      <c r="Q241" s="54">
        <v>801.97</v>
      </c>
    </row>
    <row r="242" spans="1:17" ht="26.45">
      <c r="A242" s="47">
        <v>2024</v>
      </c>
      <c r="B242" s="50" t="s">
        <v>1411</v>
      </c>
      <c r="C242" s="50" t="s">
        <v>9005</v>
      </c>
      <c r="D242" s="47" t="s">
        <v>284</v>
      </c>
      <c r="E242" s="48" t="s">
        <v>961</v>
      </c>
      <c r="F242" s="53">
        <v>478.49</v>
      </c>
      <c r="G242" s="53">
        <v>0</v>
      </c>
      <c r="H242" s="53">
        <v>0</v>
      </c>
      <c r="I242" s="53">
        <v>0</v>
      </c>
      <c r="J242" s="53">
        <v>0</v>
      </c>
      <c r="K242" s="53">
        <v>0</v>
      </c>
      <c r="L242" s="53">
        <v>0</v>
      </c>
      <c r="M242" s="43"/>
      <c r="N242" s="53">
        <v>0</v>
      </c>
      <c r="O242" s="53">
        <v>0</v>
      </c>
      <c r="P242" s="53">
        <v>0</v>
      </c>
      <c r="Q242" s="53">
        <v>478.49</v>
      </c>
    </row>
    <row r="243" spans="1:17" ht="26.45">
      <c r="A243" s="47">
        <v>2024</v>
      </c>
      <c r="B243" s="50" t="s">
        <v>1411</v>
      </c>
      <c r="C243" s="50" t="s">
        <v>9005</v>
      </c>
      <c r="D243" s="47" t="s">
        <v>285</v>
      </c>
      <c r="E243" s="48" t="s">
        <v>964</v>
      </c>
      <c r="F243" s="53">
        <v>1220.8800000000001</v>
      </c>
      <c r="G243" s="53">
        <v>1146.1300000000001</v>
      </c>
      <c r="H243" s="53">
        <v>0</v>
      </c>
      <c r="I243" s="53">
        <v>0</v>
      </c>
      <c r="J243" s="53">
        <v>0</v>
      </c>
      <c r="K243" s="53">
        <v>0</v>
      </c>
      <c r="L243" s="53">
        <v>0</v>
      </c>
      <c r="M243" s="43"/>
      <c r="N243" s="53">
        <v>0</v>
      </c>
      <c r="O243" s="53">
        <v>0</v>
      </c>
      <c r="P243" s="53">
        <v>0</v>
      </c>
      <c r="Q243" s="53">
        <v>2367.0100000000002</v>
      </c>
    </row>
    <row r="244" spans="1:17" ht="26.45">
      <c r="A244" s="44">
        <v>2024</v>
      </c>
      <c r="B244" s="46" t="s">
        <v>1411</v>
      </c>
      <c r="C244" s="46" t="s">
        <v>9005</v>
      </c>
      <c r="D244" s="44" t="s">
        <v>286</v>
      </c>
      <c r="E244" s="45" t="s">
        <v>965</v>
      </c>
      <c r="F244" s="54">
        <v>1953.38</v>
      </c>
      <c r="G244" s="54">
        <v>2034.51</v>
      </c>
      <c r="H244" s="54">
        <v>0</v>
      </c>
      <c r="I244" s="54">
        <v>0</v>
      </c>
      <c r="J244" s="54">
        <v>0</v>
      </c>
      <c r="K244" s="54">
        <v>0</v>
      </c>
      <c r="L244" s="54">
        <v>0</v>
      </c>
      <c r="M244" s="43"/>
      <c r="N244" s="54">
        <v>0</v>
      </c>
      <c r="O244" s="54">
        <v>0</v>
      </c>
      <c r="P244" s="54">
        <v>0</v>
      </c>
      <c r="Q244" s="54">
        <v>3987.89</v>
      </c>
    </row>
    <row r="245" spans="1:17" ht="26.45">
      <c r="A245" s="47">
        <v>2024</v>
      </c>
      <c r="B245" s="50" t="s">
        <v>1411</v>
      </c>
      <c r="C245" s="50" t="s">
        <v>9005</v>
      </c>
      <c r="D245" s="47" t="s">
        <v>287</v>
      </c>
      <c r="E245" s="48" t="s">
        <v>966</v>
      </c>
      <c r="F245" s="53">
        <v>1010.73</v>
      </c>
      <c r="G245" s="53">
        <v>1029.32</v>
      </c>
      <c r="H245" s="53">
        <v>0</v>
      </c>
      <c r="I245" s="53">
        <v>0</v>
      </c>
      <c r="J245" s="53">
        <v>0</v>
      </c>
      <c r="K245" s="53">
        <v>0</v>
      </c>
      <c r="L245" s="53">
        <v>0</v>
      </c>
      <c r="M245" s="43"/>
      <c r="N245" s="53">
        <v>0</v>
      </c>
      <c r="O245" s="53">
        <v>0</v>
      </c>
      <c r="P245" s="53">
        <v>0</v>
      </c>
      <c r="Q245" s="53">
        <v>2040.05</v>
      </c>
    </row>
    <row r="246" spans="1:17" ht="26.45">
      <c r="A246" s="44">
        <v>2024</v>
      </c>
      <c r="B246" s="46" t="s">
        <v>1411</v>
      </c>
      <c r="C246" s="46" t="s">
        <v>9005</v>
      </c>
      <c r="D246" s="44" t="s">
        <v>288</v>
      </c>
      <c r="E246" s="45" t="s">
        <v>967</v>
      </c>
      <c r="F246" s="54">
        <v>554.30999999999995</v>
      </c>
      <c r="G246" s="54">
        <v>0</v>
      </c>
      <c r="H246" s="54">
        <v>0</v>
      </c>
      <c r="I246" s="54">
        <v>0</v>
      </c>
      <c r="J246" s="54">
        <v>0</v>
      </c>
      <c r="K246" s="54">
        <v>0</v>
      </c>
      <c r="L246" s="54">
        <v>0</v>
      </c>
      <c r="M246" s="43"/>
      <c r="N246" s="54">
        <v>0</v>
      </c>
      <c r="O246" s="54">
        <v>0</v>
      </c>
      <c r="P246" s="54">
        <v>0</v>
      </c>
      <c r="Q246" s="54">
        <v>554.30999999999995</v>
      </c>
    </row>
    <row r="247" spans="1:17" ht="26.45">
      <c r="A247" s="47">
        <v>2024</v>
      </c>
      <c r="B247" s="50" t="s">
        <v>1411</v>
      </c>
      <c r="C247" s="50" t="s">
        <v>9005</v>
      </c>
      <c r="D247" s="47" t="s">
        <v>289</v>
      </c>
      <c r="E247" s="48" t="s">
        <v>968</v>
      </c>
      <c r="F247" s="53">
        <v>1345.84</v>
      </c>
      <c r="G247" s="53">
        <v>0</v>
      </c>
      <c r="H247" s="53">
        <v>0</v>
      </c>
      <c r="I247" s="53">
        <v>0</v>
      </c>
      <c r="J247" s="53">
        <v>0</v>
      </c>
      <c r="K247" s="53">
        <v>0</v>
      </c>
      <c r="L247" s="53">
        <v>0</v>
      </c>
      <c r="M247" s="43"/>
      <c r="N247" s="53">
        <v>0</v>
      </c>
      <c r="O247" s="53">
        <v>0</v>
      </c>
      <c r="P247" s="53">
        <v>0</v>
      </c>
      <c r="Q247" s="53">
        <v>1345.84</v>
      </c>
    </row>
    <row r="248" spans="1:17" ht="26.45">
      <c r="A248" s="44">
        <v>2024</v>
      </c>
      <c r="B248" s="46" t="s">
        <v>1411</v>
      </c>
      <c r="C248" s="46" t="s">
        <v>9005</v>
      </c>
      <c r="D248" s="44" t="s">
        <v>290</v>
      </c>
      <c r="E248" s="45" t="s">
        <v>969</v>
      </c>
      <c r="F248" s="54">
        <v>2769.2</v>
      </c>
      <c r="G248" s="54">
        <v>164.55</v>
      </c>
      <c r="H248" s="54">
        <v>0</v>
      </c>
      <c r="I248" s="54">
        <v>0</v>
      </c>
      <c r="J248" s="54">
        <v>0</v>
      </c>
      <c r="K248" s="54">
        <v>0</v>
      </c>
      <c r="L248" s="54">
        <v>0</v>
      </c>
      <c r="M248" s="43"/>
      <c r="N248" s="54">
        <v>0</v>
      </c>
      <c r="O248" s="54">
        <v>0</v>
      </c>
      <c r="P248" s="54">
        <v>0</v>
      </c>
      <c r="Q248" s="54">
        <v>2933.75</v>
      </c>
    </row>
    <row r="249" spans="1:17" ht="26.45">
      <c r="A249" s="47">
        <v>2024</v>
      </c>
      <c r="B249" s="50" t="s">
        <v>1411</v>
      </c>
      <c r="C249" s="50" t="s">
        <v>9005</v>
      </c>
      <c r="D249" s="47" t="s">
        <v>291</v>
      </c>
      <c r="E249" s="48" t="s">
        <v>970</v>
      </c>
      <c r="F249" s="53">
        <v>969.61</v>
      </c>
      <c r="G249" s="53">
        <v>960.02</v>
      </c>
      <c r="H249" s="53">
        <v>0</v>
      </c>
      <c r="I249" s="53">
        <v>0</v>
      </c>
      <c r="J249" s="53">
        <v>0</v>
      </c>
      <c r="K249" s="53">
        <v>0</v>
      </c>
      <c r="L249" s="53">
        <v>0</v>
      </c>
      <c r="M249" s="43"/>
      <c r="N249" s="53">
        <v>0</v>
      </c>
      <c r="O249" s="53">
        <v>0</v>
      </c>
      <c r="P249" s="53">
        <v>0</v>
      </c>
      <c r="Q249" s="53">
        <v>1929.63</v>
      </c>
    </row>
    <row r="250" spans="1:17" ht="26.45">
      <c r="A250" s="44">
        <v>2024</v>
      </c>
      <c r="B250" s="46" t="s">
        <v>1411</v>
      </c>
      <c r="C250" s="46" t="s">
        <v>9005</v>
      </c>
      <c r="D250" s="44" t="s">
        <v>292</v>
      </c>
      <c r="E250" s="45" t="s">
        <v>971</v>
      </c>
      <c r="F250" s="54">
        <v>2028.63</v>
      </c>
      <c r="G250" s="54">
        <v>0</v>
      </c>
      <c r="H250" s="54">
        <v>0</v>
      </c>
      <c r="I250" s="54">
        <v>0</v>
      </c>
      <c r="J250" s="54">
        <v>0</v>
      </c>
      <c r="K250" s="54">
        <v>0</v>
      </c>
      <c r="L250" s="54">
        <v>0</v>
      </c>
      <c r="M250" s="43"/>
      <c r="N250" s="54">
        <v>0</v>
      </c>
      <c r="O250" s="54">
        <v>0</v>
      </c>
      <c r="P250" s="54">
        <v>0</v>
      </c>
      <c r="Q250" s="54">
        <v>2028.63</v>
      </c>
    </row>
    <row r="251" spans="1:17" ht="26.45">
      <c r="A251" s="47">
        <v>2024</v>
      </c>
      <c r="B251" s="50" t="s">
        <v>1411</v>
      </c>
      <c r="C251" s="50" t="s">
        <v>9005</v>
      </c>
      <c r="D251" s="47" t="s">
        <v>293</v>
      </c>
      <c r="E251" s="48" t="s">
        <v>972</v>
      </c>
      <c r="F251" s="53">
        <v>777.85</v>
      </c>
      <c r="G251" s="53">
        <v>663.09</v>
      </c>
      <c r="H251" s="53">
        <v>0</v>
      </c>
      <c r="I251" s="53">
        <v>0</v>
      </c>
      <c r="J251" s="53">
        <v>0</v>
      </c>
      <c r="K251" s="53">
        <v>0</v>
      </c>
      <c r="L251" s="53">
        <v>0</v>
      </c>
      <c r="M251" s="43"/>
      <c r="N251" s="53">
        <v>0</v>
      </c>
      <c r="O251" s="53">
        <v>0</v>
      </c>
      <c r="P251" s="53">
        <v>0</v>
      </c>
      <c r="Q251" s="53">
        <v>1440.94</v>
      </c>
    </row>
    <row r="252" spans="1:17" ht="26.45">
      <c r="A252" s="44">
        <v>2024</v>
      </c>
      <c r="B252" s="46" t="s">
        <v>1411</v>
      </c>
      <c r="C252" s="46" t="s">
        <v>9005</v>
      </c>
      <c r="D252" s="44" t="s">
        <v>294</v>
      </c>
      <c r="E252" s="45" t="s">
        <v>973</v>
      </c>
      <c r="F252" s="54">
        <v>1423.16</v>
      </c>
      <c r="G252" s="54">
        <v>1525.81</v>
      </c>
      <c r="H252" s="54">
        <v>0</v>
      </c>
      <c r="I252" s="54">
        <v>0</v>
      </c>
      <c r="J252" s="54">
        <v>0</v>
      </c>
      <c r="K252" s="54">
        <v>0</v>
      </c>
      <c r="L252" s="54">
        <v>0</v>
      </c>
      <c r="M252" s="43"/>
      <c r="N252" s="54">
        <v>0</v>
      </c>
      <c r="O252" s="54">
        <v>0</v>
      </c>
      <c r="P252" s="54">
        <v>0</v>
      </c>
      <c r="Q252" s="54">
        <v>2948.97</v>
      </c>
    </row>
    <row r="253" spans="1:17" ht="26.45">
      <c r="A253" s="47">
        <v>2024</v>
      </c>
      <c r="B253" s="50" t="s">
        <v>1411</v>
      </c>
      <c r="C253" s="50" t="s">
        <v>9005</v>
      </c>
      <c r="D253" s="47" t="s">
        <v>295</v>
      </c>
      <c r="E253" s="48" t="s">
        <v>974</v>
      </c>
      <c r="F253" s="53">
        <v>1637.8</v>
      </c>
      <c r="G253" s="53">
        <v>0</v>
      </c>
      <c r="H253" s="53">
        <v>0</v>
      </c>
      <c r="I253" s="53">
        <v>0</v>
      </c>
      <c r="J253" s="53">
        <v>0</v>
      </c>
      <c r="K253" s="53">
        <v>0</v>
      </c>
      <c r="L253" s="53">
        <v>0</v>
      </c>
      <c r="M253" s="43"/>
      <c r="N253" s="53">
        <v>0</v>
      </c>
      <c r="O253" s="53">
        <v>0</v>
      </c>
      <c r="P253" s="53">
        <v>0</v>
      </c>
      <c r="Q253" s="53">
        <v>1637.8</v>
      </c>
    </row>
    <row r="254" spans="1:17" ht="26.45">
      <c r="A254" s="44">
        <v>2024</v>
      </c>
      <c r="B254" s="46" t="s">
        <v>1411</v>
      </c>
      <c r="C254" s="46" t="s">
        <v>9005</v>
      </c>
      <c r="D254" s="44" t="s">
        <v>296</v>
      </c>
      <c r="E254" s="45" t="s">
        <v>975</v>
      </c>
      <c r="F254" s="54">
        <v>2257.91</v>
      </c>
      <c r="G254" s="54">
        <v>233.05</v>
      </c>
      <c r="H254" s="54">
        <v>0</v>
      </c>
      <c r="I254" s="54">
        <v>0</v>
      </c>
      <c r="J254" s="54">
        <v>0</v>
      </c>
      <c r="K254" s="54">
        <v>0</v>
      </c>
      <c r="L254" s="54">
        <v>0</v>
      </c>
      <c r="M254" s="43"/>
      <c r="N254" s="54">
        <v>0</v>
      </c>
      <c r="O254" s="54">
        <v>0</v>
      </c>
      <c r="P254" s="54">
        <v>0</v>
      </c>
      <c r="Q254" s="54">
        <v>2490.96</v>
      </c>
    </row>
    <row r="255" spans="1:17" ht="39.6">
      <c r="A255" s="47">
        <v>2024</v>
      </c>
      <c r="B255" s="50" t="s">
        <v>1411</v>
      </c>
      <c r="C255" s="50" t="s">
        <v>9005</v>
      </c>
      <c r="D255" s="47" t="s">
        <v>297</v>
      </c>
      <c r="E255" s="48" t="s">
        <v>976</v>
      </c>
      <c r="F255" s="53">
        <v>870.21</v>
      </c>
      <c r="G255" s="53">
        <v>720.17</v>
      </c>
      <c r="H255" s="53">
        <v>0</v>
      </c>
      <c r="I255" s="53">
        <v>0</v>
      </c>
      <c r="J255" s="53">
        <v>0</v>
      </c>
      <c r="K255" s="53">
        <v>0</v>
      </c>
      <c r="L255" s="53">
        <v>0</v>
      </c>
      <c r="M255" s="43"/>
      <c r="N255" s="53">
        <v>0</v>
      </c>
      <c r="O255" s="53">
        <v>0</v>
      </c>
      <c r="P255" s="53">
        <v>0</v>
      </c>
      <c r="Q255" s="53">
        <v>1590.38</v>
      </c>
    </row>
    <row r="256" spans="1:17" ht="39.6">
      <c r="A256" s="47">
        <v>2024</v>
      </c>
      <c r="B256" s="50" t="s">
        <v>1411</v>
      </c>
      <c r="C256" s="50" t="s">
        <v>9005</v>
      </c>
      <c r="D256" s="47" t="s">
        <v>298</v>
      </c>
      <c r="E256" s="48" t="s">
        <v>979</v>
      </c>
      <c r="F256" s="53">
        <v>1345.4</v>
      </c>
      <c r="G256" s="53">
        <v>1382.45</v>
      </c>
      <c r="H256" s="53">
        <v>0</v>
      </c>
      <c r="I256" s="53">
        <v>0</v>
      </c>
      <c r="J256" s="53">
        <v>0</v>
      </c>
      <c r="K256" s="53">
        <v>0</v>
      </c>
      <c r="L256" s="53">
        <v>0</v>
      </c>
      <c r="M256" s="43"/>
      <c r="N256" s="53">
        <v>0</v>
      </c>
      <c r="O256" s="53">
        <v>0</v>
      </c>
      <c r="P256" s="53">
        <v>0</v>
      </c>
      <c r="Q256" s="53">
        <v>2727.85</v>
      </c>
    </row>
    <row r="257" spans="1:17" ht="26.45">
      <c r="A257" s="44">
        <v>2024</v>
      </c>
      <c r="B257" s="46" t="s">
        <v>1411</v>
      </c>
      <c r="C257" s="46" t="s">
        <v>9005</v>
      </c>
      <c r="D257" s="44" t="s">
        <v>299</v>
      </c>
      <c r="E257" s="45" t="s">
        <v>980</v>
      </c>
      <c r="F257" s="54">
        <v>1151.3900000000001</v>
      </c>
      <c r="G257" s="54">
        <v>1294.51</v>
      </c>
      <c r="H257" s="54">
        <v>0</v>
      </c>
      <c r="I257" s="54">
        <v>0</v>
      </c>
      <c r="J257" s="54">
        <v>0</v>
      </c>
      <c r="K257" s="54">
        <v>0</v>
      </c>
      <c r="L257" s="54">
        <v>0</v>
      </c>
      <c r="M257" s="43"/>
      <c r="N257" s="54">
        <v>0</v>
      </c>
      <c r="O257" s="54">
        <v>0</v>
      </c>
      <c r="P257" s="54">
        <v>0</v>
      </c>
      <c r="Q257" s="54">
        <v>2445.9</v>
      </c>
    </row>
    <row r="258" spans="1:17" ht="26.45">
      <c r="A258" s="47">
        <v>2024</v>
      </c>
      <c r="B258" s="50" t="s">
        <v>1411</v>
      </c>
      <c r="C258" s="50" t="s">
        <v>9005</v>
      </c>
      <c r="D258" s="47" t="s">
        <v>300</v>
      </c>
      <c r="E258" s="48" t="s">
        <v>981</v>
      </c>
      <c r="F258" s="53">
        <v>3054.81</v>
      </c>
      <c r="G258" s="53">
        <v>2792.7</v>
      </c>
      <c r="H258" s="53">
        <v>0</v>
      </c>
      <c r="I258" s="53">
        <v>0</v>
      </c>
      <c r="J258" s="53">
        <v>0</v>
      </c>
      <c r="K258" s="53">
        <v>0</v>
      </c>
      <c r="L258" s="53">
        <v>0</v>
      </c>
      <c r="M258" s="43"/>
      <c r="N258" s="53">
        <v>0</v>
      </c>
      <c r="O258" s="53">
        <v>0</v>
      </c>
      <c r="P258" s="53">
        <v>0</v>
      </c>
      <c r="Q258" s="53">
        <v>5847.51</v>
      </c>
    </row>
    <row r="259" spans="1:17" ht="26.45">
      <c r="A259" s="44">
        <v>2024</v>
      </c>
      <c r="B259" s="46" t="s">
        <v>1411</v>
      </c>
      <c r="C259" s="46" t="s">
        <v>9005</v>
      </c>
      <c r="D259" s="44" t="s">
        <v>301</v>
      </c>
      <c r="E259" s="45" t="s">
        <v>982</v>
      </c>
      <c r="F259" s="54">
        <v>834.06</v>
      </c>
      <c r="G259" s="54">
        <v>766.98</v>
      </c>
      <c r="H259" s="54">
        <v>0</v>
      </c>
      <c r="I259" s="54">
        <v>0</v>
      </c>
      <c r="J259" s="54">
        <v>0</v>
      </c>
      <c r="K259" s="54">
        <v>0</v>
      </c>
      <c r="L259" s="54">
        <v>0</v>
      </c>
      <c r="M259" s="43"/>
      <c r="N259" s="54">
        <v>0</v>
      </c>
      <c r="O259" s="54">
        <v>0</v>
      </c>
      <c r="P259" s="54">
        <v>0</v>
      </c>
      <c r="Q259" s="54">
        <v>1601.04</v>
      </c>
    </row>
    <row r="260" spans="1:17" ht="26.45">
      <c r="A260" s="47">
        <v>2024</v>
      </c>
      <c r="B260" s="50" t="s">
        <v>1411</v>
      </c>
      <c r="C260" s="50" t="s">
        <v>9005</v>
      </c>
      <c r="D260" s="47" t="s">
        <v>302</v>
      </c>
      <c r="E260" s="48" t="s">
        <v>983</v>
      </c>
      <c r="F260" s="53">
        <v>2577.5700000000002</v>
      </c>
      <c r="G260" s="53">
        <v>2610.25</v>
      </c>
      <c r="H260" s="53">
        <v>0</v>
      </c>
      <c r="I260" s="53">
        <v>0</v>
      </c>
      <c r="J260" s="53">
        <v>0</v>
      </c>
      <c r="K260" s="53">
        <v>0</v>
      </c>
      <c r="L260" s="53">
        <v>0</v>
      </c>
      <c r="M260" s="43"/>
      <c r="N260" s="53">
        <v>0</v>
      </c>
      <c r="O260" s="53">
        <v>0</v>
      </c>
      <c r="P260" s="53">
        <v>0</v>
      </c>
      <c r="Q260" s="53">
        <v>5187.82</v>
      </c>
    </row>
    <row r="261" spans="1:17" ht="26.45">
      <c r="A261" s="44">
        <v>2024</v>
      </c>
      <c r="B261" s="46" t="s">
        <v>1411</v>
      </c>
      <c r="C261" s="46" t="s">
        <v>9005</v>
      </c>
      <c r="D261" s="44" t="s">
        <v>303</v>
      </c>
      <c r="E261" s="45" t="s">
        <v>984</v>
      </c>
      <c r="F261" s="54">
        <v>1638.91</v>
      </c>
      <c r="G261" s="54">
        <v>1433.69</v>
      </c>
      <c r="H261" s="54">
        <v>0</v>
      </c>
      <c r="I261" s="54">
        <v>0</v>
      </c>
      <c r="J261" s="54">
        <v>0</v>
      </c>
      <c r="K261" s="54">
        <v>0</v>
      </c>
      <c r="L261" s="54">
        <v>0</v>
      </c>
      <c r="M261" s="43"/>
      <c r="N261" s="54">
        <v>0</v>
      </c>
      <c r="O261" s="54">
        <v>0</v>
      </c>
      <c r="P261" s="54">
        <v>0</v>
      </c>
      <c r="Q261" s="54">
        <v>3072.6</v>
      </c>
    </row>
    <row r="262" spans="1:17" ht="26.45">
      <c r="A262" s="47">
        <v>2024</v>
      </c>
      <c r="B262" s="50" t="s">
        <v>1411</v>
      </c>
      <c r="C262" s="50" t="s">
        <v>9005</v>
      </c>
      <c r="D262" s="47" t="s">
        <v>304</v>
      </c>
      <c r="E262" s="48" t="s">
        <v>985</v>
      </c>
      <c r="F262" s="53">
        <v>771.07</v>
      </c>
      <c r="G262" s="53">
        <v>0</v>
      </c>
      <c r="H262" s="53">
        <v>0</v>
      </c>
      <c r="I262" s="53">
        <v>0</v>
      </c>
      <c r="J262" s="53">
        <v>0</v>
      </c>
      <c r="K262" s="53">
        <v>0</v>
      </c>
      <c r="L262" s="53">
        <v>0</v>
      </c>
      <c r="M262" s="43"/>
      <c r="N262" s="53">
        <v>0</v>
      </c>
      <c r="O262" s="53">
        <v>0</v>
      </c>
      <c r="P262" s="53">
        <v>0</v>
      </c>
      <c r="Q262" s="53">
        <v>771.07</v>
      </c>
    </row>
    <row r="263" spans="1:17" ht="26.45">
      <c r="A263" s="44">
        <v>2024</v>
      </c>
      <c r="B263" s="46" t="s">
        <v>1411</v>
      </c>
      <c r="C263" s="46" t="s">
        <v>9005</v>
      </c>
      <c r="D263" s="44" t="s">
        <v>305</v>
      </c>
      <c r="E263" s="45" t="s">
        <v>986</v>
      </c>
      <c r="F263" s="54">
        <v>12057.45</v>
      </c>
      <c r="G263" s="54">
        <v>0</v>
      </c>
      <c r="H263" s="54">
        <v>0</v>
      </c>
      <c r="I263" s="54">
        <v>0</v>
      </c>
      <c r="J263" s="54">
        <v>0</v>
      </c>
      <c r="K263" s="54">
        <v>0</v>
      </c>
      <c r="L263" s="54">
        <v>-12057.45</v>
      </c>
      <c r="M263" s="43"/>
      <c r="N263" s="54">
        <v>0</v>
      </c>
      <c r="O263" s="54">
        <v>0</v>
      </c>
      <c r="P263" s="54">
        <v>0</v>
      </c>
      <c r="Q263" s="54">
        <v>0</v>
      </c>
    </row>
    <row r="264" spans="1:17" ht="26.45">
      <c r="A264" s="47">
        <v>2024</v>
      </c>
      <c r="B264" s="50" t="s">
        <v>1411</v>
      </c>
      <c r="C264" s="50" t="s">
        <v>9005</v>
      </c>
      <c r="D264" s="47" t="s">
        <v>306</v>
      </c>
      <c r="E264" s="48" t="s">
        <v>987</v>
      </c>
      <c r="F264" s="53">
        <v>15809.91</v>
      </c>
      <c r="G264" s="53">
        <v>12866.58</v>
      </c>
      <c r="H264" s="53">
        <v>0</v>
      </c>
      <c r="I264" s="53">
        <v>0</v>
      </c>
      <c r="J264" s="53">
        <v>0</v>
      </c>
      <c r="K264" s="53">
        <v>0</v>
      </c>
      <c r="L264" s="53">
        <v>0</v>
      </c>
      <c r="M264" s="43"/>
      <c r="N264" s="53">
        <v>0</v>
      </c>
      <c r="O264" s="53">
        <v>0</v>
      </c>
      <c r="P264" s="53">
        <v>0</v>
      </c>
      <c r="Q264" s="53">
        <v>28676.49</v>
      </c>
    </row>
    <row r="265" spans="1:17" ht="26.45">
      <c r="A265" s="47">
        <v>2024</v>
      </c>
      <c r="B265" s="50" t="s">
        <v>1411</v>
      </c>
      <c r="C265" s="50" t="s">
        <v>9005</v>
      </c>
      <c r="D265" s="47" t="s">
        <v>307</v>
      </c>
      <c r="E265" s="48" t="s">
        <v>990</v>
      </c>
      <c r="F265" s="53">
        <v>40.619999999999997</v>
      </c>
      <c r="G265" s="53">
        <v>0</v>
      </c>
      <c r="H265" s="53">
        <v>0</v>
      </c>
      <c r="I265" s="53">
        <v>0</v>
      </c>
      <c r="J265" s="53">
        <v>0</v>
      </c>
      <c r="K265" s="53">
        <v>0</v>
      </c>
      <c r="L265" s="53">
        <v>0</v>
      </c>
      <c r="M265" s="43"/>
      <c r="N265" s="53">
        <v>0</v>
      </c>
      <c r="O265" s="53">
        <v>0</v>
      </c>
      <c r="P265" s="53">
        <v>0</v>
      </c>
      <c r="Q265" s="53">
        <v>40.619999999999997</v>
      </c>
    </row>
    <row r="266" spans="1:17" ht="26.45">
      <c r="A266" s="44">
        <v>2024</v>
      </c>
      <c r="B266" s="46" t="s">
        <v>1411</v>
      </c>
      <c r="C266" s="46" t="s">
        <v>9005</v>
      </c>
      <c r="D266" s="44" t="s">
        <v>308</v>
      </c>
      <c r="E266" s="45" t="s">
        <v>991</v>
      </c>
      <c r="F266" s="54">
        <v>1487.74</v>
      </c>
      <c r="G266" s="54">
        <v>630.35</v>
      </c>
      <c r="H266" s="54">
        <v>0</v>
      </c>
      <c r="I266" s="54">
        <v>0</v>
      </c>
      <c r="J266" s="54">
        <v>0</v>
      </c>
      <c r="K266" s="54">
        <v>0</v>
      </c>
      <c r="L266" s="54">
        <v>0</v>
      </c>
      <c r="M266" s="43"/>
      <c r="N266" s="54">
        <v>0</v>
      </c>
      <c r="O266" s="54">
        <v>0</v>
      </c>
      <c r="P266" s="54">
        <v>0</v>
      </c>
      <c r="Q266" s="54">
        <v>2118.09</v>
      </c>
    </row>
    <row r="267" spans="1:17" ht="26.45">
      <c r="A267" s="44">
        <v>2024</v>
      </c>
      <c r="B267" s="46" t="s">
        <v>1411</v>
      </c>
      <c r="C267" s="46" t="s">
        <v>9005</v>
      </c>
      <c r="D267" s="44" t="s">
        <v>309</v>
      </c>
      <c r="E267" s="45" t="s">
        <v>994</v>
      </c>
      <c r="F267" s="54">
        <v>39923.56</v>
      </c>
      <c r="G267" s="54">
        <v>18845.009999999998</v>
      </c>
      <c r="H267" s="54">
        <v>0</v>
      </c>
      <c r="I267" s="54">
        <v>0</v>
      </c>
      <c r="J267" s="54">
        <v>0</v>
      </c>
      <c r="K267" s="54">
        <v>0</v>
      </c>
      <c r="L267" s="54">
        <v>0</v>
      </c>
      <c r="M267" s="43"/>
      <c r="N267" s="54">
        <v>0</v>
      </c>
      <c r="O267" s="54">
        <v>0</v>
      </c>
      <c r="P267" s="54">
        <v>0</v>
      </c>
      <c r="Q267" s="54">
        <v>58768.57</v>
      </c>
    </row>
    <row r="268" spans="1:17" ht="26.45">
      <c r="A268" s="47">
        <v>2024</v>
      </c>
      <c r="B268" s="50" t="s">
        <v>1411</v>
      </c>
      <c r="C268" s="50" t="s">
        <v>9005</v>
      </c>
      <c r="D268" s="47" t="s">
        <v>310</v>
      </c>
      <c r="E268" s="48" t="s">
        <v>995</v>
      </c>
      <c r="F268" s="53">
        <v>428.76</v>
      </c>
      <c r="G268" s="53">
        <v>0</v>
      </c>
      <c r="H268" s="53">
        <v>0</v>
      </c>
      <c r="I268" s="53">
        <v>0</v>
      </c>
      <c r="J268" s="53">
        <v>0</v>
      </c>
      <c r="K268" s="53">
        <v>0</v>
      </c>
      <c r="L268" s="53">
        <v>0</v>
      </c>
      <c r="M268" s="43"/>
      <c r="N268" s="53">
        <v>0</v>
      </c>
      <c r="O268" s="53">
        <v>0</v>
      </c>
      <c r="P268" s="53">
        <v>0</v>
      </c>
      <c r="Q268" s="53">
        <v>428.76</v>
      </c>
    </row>
    <row r="269" spans="1:17" ht="26.45">
      <c r="A269" s="44">
        <v>2024</v>
      </c>
      <c r="B269" s="46" t="s">
        <v>1411</v>
      </c>
      <c r="C269" s="46" t="s">
        <v>9005</v>
      </c>
      <c r="D269" s="44" t="s">
        <v>311</v>
      </c>
      <c r="E269" s="45" t="s">
        <v>996</v>
      </c>
      <c r="F269" s="54">
        <v>634.03</v>
      </c>
      <c r="G269" s="54">
        <v>292.32</v>
      </c>
      <c r="H269" s="54">
        <v>0</v>
      </c>
      <c r="I269" s="54">
        <v>0</v>
      </c>
      <c r="J269" s="54">
        <v>0</v>
      </c>
      <c r="K269" s="54">
        <v>0</v>
      </c>
      <c r="L269" s="54">
        <v>0</v>
      </c>
      <c r="M269" s="43"/>
      <c r="N269" s="54">
        <v>0</v>
      </c>
      <c r="O269" s="54">
        <v>0</v>
      </c>
      <c r="P269" s="54">
        <v>0</v>
      </c>
      <c r="Q269" s="54">
        <v>926.35</v>
      </c>
    </row>
    <row r="270" spans="1:17" ht="26.45">
      <c r="A270" s="47">
        <v>2024</v>
      </c>
      <c r="B270" s="50" t="s">
        <v>1411</v>
      </c>
      <c r="C270" s="50" t="s">
        <v>9005</v>
      </c>
      <c r="D270" s="47" t="s">
        <v>312</v>
      </c>
      <c r="E270" s="48" t="s">
        <v>997</v>
      </c>
      <c r="F270" s="53">
        <v>12058.07</v>
      </c>
      <c r="G270" s="53">
        <v>6073.5</v>
      </c>
      <c r="H270" s="53">
        <v>0</v>
      </c>
      <c r="I270" s="53">
        <v>0</v>
      </c>
      <c r="J270" s="53">
        <v>0</v>
      </c>
      <c r="K270" s="53">
        <v>0</v>
      </c>
      <c r="L270" s="53">
        <v>0</v>
      </c>
      <c r="M270" s="43"/>
      <c r="N270" s="53">
        <v>0</v>
      </c>
      <c r="O270" s="53">
        <v>0</v>
      </c>
      <c r="P270" s="53">
        <v>0</v>
      </c>
      <c r="Q270" s="53">
        <v>18131.57</v>
      </c>
    </row>
    <row r="271" spans="1:17" ht="26.45">
      <c r="A271" s="44">
        <v>2024</v>
      </c>
      <c r="B271" s="46" t="s">
        <v>1411</v>
      </c>
      <c r="C271" s="46" t="s">
        <v>9005</v>
      </c>
      <c r="D271" s="44" t="s">
        <v>313</v>
      </c>
      <c r="E271" s="45" t="s">
        <v>998</v>
      </c>
      <c r="F271" s="54">
        <v>28355.27</v>
      </c>
      <c r="G271" s="54">
        <v>28752.71</v>
      </c>
      <c r="H271" s="54">
        <v>0</v>
      </c>
      <c r="I271" s="54">
        <v>0</v>
      </c>
      <c r="J271" s="54">
        <v>0</v>
      </c>
      <c r="K271" s="54">
        <v>0</v>
      </c>
      <c r="L271" s="54">
        <v>0</v>
      </c>
      <c r="M271" s="43"/>
      <c r="N271" s="54">
        <v>0</v>
      </c>
      <c r="O271" s="54">
        <v>-1799.89</v>
      </c>
      <c r="P271" s="54">
        <v>0</v>
      </c>
      <c r="Q271" s="54">
        <v>55308.09</v>
      </c>
    </row>
    <row r="272" spans="1:17" ht="26.45">
      <c r="A272" s="47">
        <v>2024</v>
      </c>
      <c r="B272" s="50" t="s">
        <v>1411</v>
      </c>
      <c r="C272" s="50" t="s">
        <v>9005</v>
      </c>
      <c r="D272" s="47" t="s">
        <v>314</v>
      </c>
      <c r="E272" s="48" t="s">
        <v>1003</v>
      </c>
      <c r="F272" s="53">
        <v>1730.39</v>
      </c>
      <c r="G272" s="53">
        <v>0</v>
      </c>
      <c r="H272" s="53">
        <v>0</v>
      </c>
      <c r="I272" s="53">
        <v>0</v>
      </c>
      <c r="J272" s="53">
        <v>0</v>
      </c>
      <c r="K272" s="53">
        <v>0</v>
      </c>
      <c r="L272" s="53">
        <v>0</v>
      </c>
      <c r="M272" s="43"/>
      <c r="N272" s="53">
        <v>0</v>
      </c>
      <c r="O272" s="53">
        <v>0</v>
      </c>
      <c r="P272" s="53">
        <v>0</v>
      </c>
      <c r="Q272" s="53">
        <v>1730.39</v>
      </c>
    </row>
    <row r="273" spans="1:17" ht="26.45">
      <c r="A273" s="44">
        <v>2024</v>
      </c>
      <c r="B273" s="46" t="s">
        <v>1411</v>
      </c>
      <c r="C273" s="46" t="s">
        <v>9005</v>
      </c>
      <c r="D273" s="44" t="s">
        <v>315</v>
      </c>
      <c r="E273" s="45" t="s">
        <v>1004</v>
      </c>
      <c r="F273" s="54">
        <v>11819.4</v>
      </c>
      <c r="G273" s="54">
        <v>3718.58</v>
      </c>
      <c r="H273" s="54">
        <v>0</v>
      </c>
      <c r="I273" s="54">
        <v>0</v>
      </c>
      <c r="J273" s="54">
        <v>0</v>
      </c>
      <c r="K273" s="54">
        <v>0</v>
      </c>
      <c r="L273" s="54">
        <v>0</v>
      </c>
      <c r="M273" s="43"/>
      <c r="N273" s="54">
        <v>0</v>
      </c>
      <c r="O273" s="54">
        <v>0</v>
      </c>
      <c r="P273" s="54">
        <v>0</v>
      </c>
      <c r="Q273" s="54">
        <v>15537.98</v>
      </c>
    </row>
    <row r="274" spans="1:17" ht="26.45">
      <c r="A274" s="47">
        <v>2024</v>
      </c>
      <c r="B274" s="50" t="s">
        <v>1411</v>
      </c>
      <c r="C274" s="50" t="s">
        <v>9005</v>
      </c>
      <c r="D274" s="47" t="s">
        <v>316</v>
      </c>
      <c r="E274" s="48" t="s">
        <v>1005</v>
      </c>
      <c r="F274" s="53">
        <v>52866.95</v>
      </c>
      <c r="G274" s="53">
        <v>0</v>
      </c>
      <c r="H274" s="53">
        <v>0</v>
      </c>
      <c r="I274" s="53">
        <v>0</v>
      </c>
      <c r="J274" s="53">
        <v>0</v>
      </c>
      <c r="K274" s="53">
        <v>0</v>
      </c>
      <c r="L274" s="53">
        <v>0</v>
      </c>
      <c r="M274" s="43"/>
      <c r="N274" s="53">
        <v>0</v>
      </c>
      <c r="O274" s="53">
        <v>0</v>
      </c>
      <c r="P274" s="53">
        <v>0</v>
      </c>
      <c r="Q274" s="53">
        <v>52866.95</v>
      </c>
    </row>
    <row r="275" spans="1:17" ht="26.45">
      <c r="A275" s="44">
        <v>2024</v>
      </c>
      <c r="B275" s="46" t="s">
        <v>1411</v>
      </c>
      <c r="C275" s="46" t="s">
        <v>9005</v>
      </c>
      <c r="D275" s="44" t="s">
        <v>317</v>
      </c>
      <c r="E275" s="45" t="s">
        <v>1014</v>
      </c>
      <c r="F275" s="54">
        <v>14795.96</v>
      </c>
      <c r="G275" s="54">
        <v>16027.57</v>
      </c>
      <c r="H275" s="54">
        <v>0</v>
      </c>
      <c r="I275" s="54">
        <v>0</v>
      </c>
      <c r="J275" s="54">
        <v>0</v>
      </c>
      <c r="K275" s="54">
        <v>0</v>
      </c>
      <c r="L275" s="54">
        <v>0</v>
      </c>
      <c r="M275" s="43"/>
      <c r="N275" s="54">
        <v>0</v>
      </c>
      <c r="O275" s="54">
        <v>0</v>
      </c>
      <c r="P275" s="54">
        <v>0</v>
      </c>
      <c r="Q275" s="54">
        <v>30823.53</v>
      </c>
    </row>
    <row r="276" spans="1:17" ht="26.45">
      <c r="A276" s="47">
        <v>2024</v>
      </c>
      <c r="B276" s="50" t="s">
        <v>1411</v>
      </c>
      <c r="C276" s="50" t="s">
        <v>9005</v>
      </c>
      <c r="D276" s="47" t="s">
        <v>318</v>
      </c>
      <c r="E276" s="48" t="s">
        <v>1015</v>
      </c>
      <c r="F276" s="53">
        <v>1069.1400000000001</v>
      </c>
      <c r="G276" s="53">
        <v>456.88</v>
      </c>
      <c r="H276" s="53">
        <v>0</v>
      </c>
      <c r="I276" s="53">
        <v>0</v>
      </c>
      <c r="J276" s="53">
        <v>0</v>
      </c>
      <c r="K276" s="53">
        <v>0</v>
      </c>
      <c r="L276" s="53">
        <v>0</v>
      </c>
      <c r="M276" s="43"/>
      <c r="N276" s="53">
        <v>0</v>
      </c>
      <c r="O276" s="53">
        <v>0</v>
      </c>
      <c r="P276" s="53">
        <v>0</v>
      </c>
      <c r="Q276" s="53">
        <v>1526.02</v>
      </c>
    </row>
    <row r="277" spans="1:17" ht="26.45">
      <c r="A277" s="47">
        <v>2024</v>
      </c>
      <c r="B277" s="50" t="s">
        <v>1411</v>
      </c>
      <c r="C277" s="50" t="s">
        <v>9005</v>
      </c>
      <c r="D277" s="47" t="s">
        <v>319</v>
      </c>
      <c r="E277" s="48" t="s">
        <v>1018</v>
      </c>
      <c r="F277" s="53">
        <v>970.74</v>
      </c>
      <c r="G277" s="53">
        <v>1262.8800000000001</v>
      </c>
      <c r="H277" s="53">
        <v>0</v>
      </c>
      <c r="I277" s="53">
        <v>0</v>
      </c>
      <c r="J277" s="53">
        <v>0</v>
      </c>
      <c r="K277" s="53">
        <v>0</v>
      </c>
      <c r="L277" s="53">
        <v>0</v>
      </c>
      <c r="M277" s="43"/>
      <c r="N277" s="53">
        <v>0</v>
      </c>
      <c r="O277" s="53">
        <v>0</v>
      </c>
      <c r="P277" s="53">
        <v>0</v>
      </c>
      <c r="Q277" s="53">
        <v>2233.62</v>
      </c>
    </row>
    <row r="278" spans="1:17" ht="26.45">
      <c r="A278" s="44">
        <v>2024</v>
      </c>
      <c r="B278" s="46" t="s">
        <v>1411</v>
      </c>
      <c r="C278" s="46" t="s">
        <v>9005</v>
      </c>
      <c r="D278" s="44" t="s">
        <v>320</v>
      </c>
      <c r="E278" s="45" t="s">
        <v>1019</v>
      </c>
      <c r="F278" s="54">
        <v>1088.77</v>
      </c>
      <c r="G278" s="54">
        <v>0</v>
      </c>
      <c r="H278" s="54">
        <v>0</v>
      </c>
      <c r="I278" s="54">
        <v>0</v>
      </c>
      <c r="J278" s="54">
        <v>0</v>
      </c>
      <c r="K278" s="54">
        <v>0</v>
      </c>
      <c r="L278" s="54">
        <v>0</v>
      </c>
      <c r="M278" s="43"/>
      <c r="N278" s="54">
        <v>0</v>
      </c>
      <c r="O278" s="54">
        <v>0</v>
      </c>
      <c r="P278" s="54">
        <v>0</v>
      </c>
      <c r="Q278" s="54">
        <v>1088.77</v>
      </c>
    </row>
    <row r="279" spans="1:17" ht="39.6">
      <c r="A279" s="47">
        <v>2024</v>
      </c>
      <c r="B279" s="50" t="s">
        <v>1411</v>
      </c>
      <c r="C279" s="50" t="s">
        <v>9005</v>
      </c>
      <c r="D279" s="47" t="s">
        <v>321</v>
      </c>
      <c r="E279" s="48" t="s">
        <v>1020</v>
      </c>
      <c r="F279" s="53">
        <v>871.31</v>
      </c>
      <c r="G279" s="53">
        <v>0</v>
      </c>
      <c r="H279" s="53">
        <v>0</v>
      </c>
      <c r="I279" s="53">
        <v>0</v>
      </c>
      <c r="J279" s="53">
        <v>0</v>
      </c>
      <c r="K279" s="53">
        <v>0</v>
      </c>
      <c r="L279" s="53">
        <v>0</v>
      </c>
      <c r="M279" s="43"/>
      <c r="N279" s="53">
        <v>0</v>
      </c>
      <c r="O279" s="53">
        <v>0</v>
      </c>
      <c r="P279" s="53">
        <v>0</v>
      </c>
      <c r="Q279" s="53">
        <v>871.31</v>
      </c>
    </row>
    <row r="280" spans="1:17" ht="26.45">
      <c r="A280" s="44">
        <v>2024</v>
      </c>
      <c r="B280" s="46" t="s">
        <v>1411</v>
      </c>
      <c r="C280" s="46" t="s">
        <v>9005</v>
      </c>
      <c r="D280" s="44" t="s">
        <v>322</v>
      </c>
      <c r="E280" s="45" t="s">
        <v>1021</v>
      </c>
      <c r="F280" s="54">
        <v>4538.46</v>
      </c>
      <c r="G280" s="54">
        <v>682.59</v>
      </c>
      <c r="H280" s="54">
        <v>0</v>
      </c>
      <c r="I280" s="54">
        <v>0</v>
      </c>
      <c r="J280" s="54">
        <v>0</v>
      </c>
      <c r="K280" s="54">
        <v>0</v>
      </c>
      <c r="L280" s="54">
        <v>0</v>
      </c>
      <c r="M280" s="43"/>
      <c r="N280" s="54">
        <v>0</v>
      </c>
      <c r="O280" s="54">
        <v>0</v>
      </c>
      <c r="P280" s="54">
        <v>0</v>
      </c>
      <c r="Q280" s="54">
        <v>5221.05</v>
      </c>
    </row>
    <row r="281" spans="1:17" ht="26.45">
      <c r="A281" s="44">
        <v>2024</v>
      </c>
      <c r="B281" s="46" t="s">
        <v>1411</v>
      </c>
      <c r="C281" s="46" t="s">
        <v>9005</v>
      </c>
      <c r="D281" s="44" t="s">
        <v>323</v>
      </c>
      <c r="E281" s="45" t="s">
        <v>1024</v>
      </c>
      <c r="F281" s="54">
        <v>480.03</v>
      </c>
      <c r="G281" s="54">
        <v>450.61</v>
      </c>
      <c r="H281" s="54">
        <v>0</v>
      </c>
      <c r="I281" s="54">
        <v>0</v>
      </c>
      <c r="J281" s="54">
        <v>0</v>
      </c>
      <c r="K281" s="54">
        <v>0</v>
      </c>
      <c r="L281" s="54">
        <v>0</v>
      </c>
      <c r="M281" s="43"/>
      <c r="N281" s="54">
        <v>0</v>
      </c>
      <c r="O281" s="54">
        <v>0</v>
      </c>
      <c r="P281" s="54">
        <v>0</v>
      </c>
      <c r="Q281" s="54">
        <v>930.64</v>
      </c>
    </row>
    <row r="282" spans="1:17" ht="26.45">
      <c r="A282" s="47">
        <v>2024</v>
      </c>
      <c r="B282" s="50" t="s">
        <v>1411</v>
      </c>
      <c r="C282" s="50" t="s">
        <v>9005</v>
      </c>
      <c r="D282" s="47" t="s">
        <v>324</v>
      </c>
      <c r="E282" s="48" t="s">
        <v>1025</v>
      </c>
      <c r="F282" s="53">
        <v>547.98</v>
      </c>
      <c r="G282" s="53">
        <v>0</v>
      </c>
      <c r="H282" s="53">
        <v>0</v>
      </c>
      <c r="I282" s="53">
        <v>0</v>
      </c>
      <c r="J282" s="53">
        <v>0</v>
      </c>
      <c r="K282" s="53">
        <v>0</v>
      </c>
      <c r="L282" s="53">
        <v>0</v>
      </c>
      <c r="M282" s="43"/>
      <c r="N282" s="53">
        <v>0</v>
      </c>
      <c r="O282" s="53">
        <v>0</v>
      </c>
      <c r="P282" s="53">
        <v>0</v>
      </c>
      <c r="Q282" s="53">
        <v>547.98</v>
      </c>
    </row>
    <row r="283" spans="1:17" ht="26.45">
      <c r="A283" s="44">
        <v>2024</v>
      </c>
      <c r="B283" s="46" t="s">
        <v>1411</v>
      </c>
      <c r="C283" s="46" t="s">
        <v>9005</v>
      </c>
      <c r="D283" s="44" t="s">
        <v>325</v>
      </c>
      <c r="E283" s="45" t="s">
        <v>1026</v>
      </c>
      <c r="F283" s="54">
        <v>327808.95</v>
      </c>
      <c r="G283" s="54">
        <v>179675.18</v>
      </c>
      <c r="H283" s="54">
        <v>0</v>
      </c>
      <c r="I283" s="54">
        <v>0</v>
      </c>
      <c r="J283" s="54">
        <v>0</v>
      </c>
      <c r="K283" s="54">
        <v>0</v>
      </c>
      <c r="L283" s="54">
        <v>0</v>
      </c>
      <c r="M283" s="43"/>
      <c r="N283" s="54">
        <v>0</v>
      </c>
      <c r="O283" s="54">
        <v>0</v>
      </c>
      <c r="P283" s="54">
        <v>0</v>
      </c>
      <c r="Q283" s="54">
        <v>507484.13</v>
      </c>
    </row>
    <row r="284" spans="1:17" ht="26.45">
      <c r="A284" s="44">
        <v>2024</v>
      </c>
      <c r="B284" s="46" t="s">
        <v>1411</v>
      </c>
      <c r="C284" s="46" t="s">
        <v>9005</v>
      </c>
      <c r="D284" s="44" t="s">
        <v>326</v>
      </c>
      <c r="E284" s="45" t="s">
        <v>1029</v>
      </c>
      <c r="F284" s="54">
        <v>541.46</v>
      </c>
      <c r="G284" s="54">
        <v>0</v>
      </c>
      <c r="H284" s="54">
        <v>0</v>
      </c>
      <c r="I284" s="54">
        <v>0</v>
      </c>
      <c r="J284" s="54">
        <v>0</v>
      </c>
      <c r="K284" s="54">
        <v>0</v>
      </c>
      <c r="L284" s="54">
        <v>0</v>
      </c>
      <c r="M284" s="43"/>
      <c r="N284" s="54">
        <v>0</v>
      </c>
      <c r="O284" s="54">
        <v>0</v>
      </c>
      <c r="P284" s="54">
        <v>0</v>
      </c>
      <c r="Q284" s="54">
        <v>541.46</v>
      </c>
    </row>
    <row r="285" spans="1:17" ht="26.45">
      <c r="A285" s="47">
        <v>2024</v>
      </c>
      <c r="B285" s="50" t="s">
        <v>1411</v>
      </c>
      <c r="C285" s="50" t="s">
        <v>9005</v>
      </c>
      <c r="D285" s="47" t="s">
        <v>327</v>
      </c>
      <c r="E285" s="48" t="s">
        <v>1030</v>
      </c>
      <c r="F285" s="53">
        <v>18280.91</v>
      </c>
      <c r="G285" s="53">
        <v>599.36</v>
      </c>
      <c r="H285" s="53">
        <v>0</v>
      </c>
      <c r="I285" s="53">
        <v>0</v>
      </c>
      <c r="J285" s="53">
        <v>0</v>
      </c>
      <c r="K285" s="53">
        <v>0</v>
      </c>
      <c r="L285" s="53">
        <v>0</v>
      </c>
      <c r="M285" s="43"/>
      <c r="N285" s="53">
        <v>0</v>
      </c>
      <c r="O285" s="53">
        <v>0</v>
      </c>
      <c r="P285" s="53">
        <v>0</v>
      </c>
      <c r="Q285" s="53">
        <v>18880.27</v>
      </c>
    </row>
    <row r="286" spans="1:17" ht="26.45">
      <c r="A286" s="44">
        <v>2024</v>
      </c>
      <c r="B286" s="46" t="s">
        <v>1411</v>
      </c>
      <c r="C286" s="46" t="s">
        <v>9005</v>
      </c>
      <c r="D286" s="44" t="s">
        <v>328</v>
      </c>
      <c r="E286" s="45" t="s">
        <v>1031</v>
      </c>
      <c r="F286" s="54">
        <v>734.51</v>
      </c>
      <c r="G286" s="54">
        <v>695.55</v>
      </c>
      <c r="H286" s="54">
        <v>0</v>
      </c>
      <c r="I286" s="54">
        <v>0</v>
      </c>
      <c r="J286" s="54">
        <v>0</v>
      </c>
      <c r="K286" s="54">
        <v>0</v>
      </c>
      <c r="L286" s="54">
        <v>0</v>
      </c>
      <c r="M286" s="43"/>
      <c r="N286" s="54">
        <v>0</v>
      </c>
      <c r="O286" s="54">
        <v>0</v>
      </c>
      <c r="P286" s="54">
        <v>0</v>
      </c>
      <c r="Q286" s="54">
        <v>1430.06</v>
      </c>
    </row>
    <row r="287" spans="1:17" ht="26.45">
      <c r="A287" s="47">
        <v>2024</v>
      </c>
      <c r="B287" s="50" t="s">
        <v>1411</v>
      </c>
      <c r="C287" s="50" t="s">
        <v>9005</v>
      </c>
      <c r="D287" s="47" t="s">
        <v>329</v>
      </c>
      <c r="E287" s="48" t="s">
        <v>1032</v>
      </c>
      <c r="F287" s="53">
        <v>519.54</v>
      </c>
      <c r="G287" s="53">
        <v>0</v>
      </c>
      <c r="H287" s="53">
        <v>0</v>
      </c>
      <c r="I287" s="53">
        <v>0</v>
      </c>
      <c r="J287" s="53">
        <v>0</v>
      </c>
      <c r="K287" s="53">
        <v>0</v>
      </c>
      <c r="L287" s="53">
        <v>0</v>
      </c>
      <c r="M287" s="43"/>
      <c r="N287" s="53">
        <v>0</v>
      </c>
      <c r="O287" s="53">
        <v>0</v>
      </c>
      <c r="P287" s="53">
        <v>0</v>
      </c>
      <c r="Q287" s="53">
        <v>519.54</v>
      </c>
    </row>
    <row r="288" spans="1:17" ht="26.45">
      <c r="A288" s="44">
        <v>2024</v>
      </c>
      <c r="B288" s="46" t="s">
        <v>1411</v>
      </c>
      <c r="C288" s="46" t="s">
        <v>9005</v>
      </c>
      <c r="D288" s="44" t="s">
        <v>330</v>
      </c>
      <c r="E288" s="45" t="s">
        <v>1033</v>
      </c>
      <c r="F288" s="54">
        <v>443.21</v>
      </c>
      <c r="G288" s="54">
        <v>0</v>
      </c>
      <c r="H288" s="54">
        <v>0</v>
      </c>
      <c r="I288" s="54">
        <v>0</v>
      </c>
      <c r="J288" s="54">
        <v>0</v>
      </c>
      <c r="K288" s="54">
        <v>0</v>
      </c>
      <c r="L288" s="54">
        <v>0</v>
      </c>
      <c r="M288" s="43"/>
      <c r="N288" s="54">
        <v>0</v>
      </c>
      <c r="O288" s="54">
        <v>0</v>
      </c>
      <c r="P288" s="54">
        <v>0</v>
      </c>
      <c r="Q288" s="54">
        <v>443.21</v>
      </c>
    </row>
    <row r="289" spans="1:17" ht="26.45">
      <c r="A289" s="44">
        <v>2024</v>
      </c>
      <c r="B289" s="46" t="s">
        <v>1411</v>
      </c>
      <c r="C289" s="46" t="s">
        <v>9005</v>
      </c>
      <c r="D289" s="44" t="s">
        <v>331</v>
      </c>
      <c r="E289" s="45" t="s">
        <v>1036</v>
      </c>
      <c r="F289" s="54">
        <v>370.69</v>
      </c>
      <c r="G289" s="54">
        <v>0</v>
      </c>
      <c r="H289" s="54">
        <v>0</v>
      </c>
      <c r="I289" s="54">
        <v>0</v>
      </c>
      <c r="J289" s="54">
        <v>0</v>
      </c>
      <c r="K289" s="54">
        <v>0</v>
      </c>
      <c r="L289" s="54">
        <v>0</v>
      </c>
      <c r="M289" s="43"/>
      <c r="N289" s="54">
        <v>0</v>
      </c>
      <c r="O289" s="54">
        <v>0</v>
      </c>
      <c r="P289" s="54">
        <v>0</v>
      </c>
      <c r="Q289" s="54">
        <v>370.69</v>
      </c>
    </row>
    <row r="290" spans="1:17" ht="39.6">
      <c r="A290" s="47">
        <v>2024</v>
      </c>
      <c r="B290" s="50" t="s">
        <v>1411</v>
      </c>
      <c r="C290" s="50" t="s">
        <v>9005</v>
      </c>
      <c r="D290" s="47" t="s">
        <v>332</v>
      </c>
      <c r="E290" s="48" t="s">
        <v>1037</v>
      </c>
      <c r="F290" s="53">
        <v>536.91</v>
      </c>
      <c r="G290" s="53">
        <v>0</v>
      </c>
      <c r="H290" s="53">
        <v>0</v>
      </c>
      <c r="I290" s="53">
        <v>0</v>
      </c>
      <c r="J290" s="53">
        <v>0</v>
      </c>
      <c r="K290" s="53">
        <v>0</v>
      </c>
      <c r="L290" s="53">
        <v>-536.91</v>
      </c>
      <c r="M290" s="43"/>
      <c r="N290" s="53">
        <v>0</v>
      </c>
      <c r="O290" s="53">
        <v>0</v>
      </c>
      <c r="P290" s="53">
        <v>0</v>
      </c>
      <c r="Q290" s="53">
        <v>0</v>
      </c>
    </row>
    <row r="291" spans="1:17" ht="26.45">
      <c r="A291" s="47">
        <v>2024</v>
      </c>
      <c r="B291" s="50" t="s">
        <v>1411</v>
      </c>
      <c r="C291" s="50" t="s">
        <v>9005</v>
      </c>
      <c r="D291" s="47" t="s">
        <v>333</v>
      </c>
      <c r="E291" s="48" t="s">
        <v>1044</v>
      </c>
      <c r="F291" s="53">
        <v>10488.96</v>
      </c>
      <c r="G291" s="53">
        <v>127.96</v>
      </c>
      <c r="H291" s="53">
        <v>0</v>
      </c>
      <c r="I291" s="53">
        <v>0</v>
      </c>
      <c r="J291" s="53">
        <v>0</v>
      </c>
      <c r="K291" s="53">
        <v>0</v>
      </c>
      <c r="L291" s="53">
        <v>0</v>
      </c>
      <c r="M291" s="43"/>
      <c r="N291" s="53">
        <v>0</v>
      </c>
      <c r="O291" s="53">
        <v>0</v>
      </c>
      <c r="P291" s="53">
        <v>0</v>
      </c>
      <c r="Q291" s="53">
        <v>10616.92</v>
      </c>
    </row>
    <row r="292" spans="1:17" ht="26.45">
      <c r="A292" s="44">
        <v>2024</v>
      </c>
      <c r="B292" s="46" t="s">
        <v>1411</v>
      </c>
      <c r="C292" s="46" t="s">
        <v>9005</v>
      </c>
      <c r="D292" s="44" t="s">
        <v>334</v>
      </c>
      <c r="E292" s="45" t="s">
        <v>1045</v>
      </c>
      <c r="F292" s="54">
        <v>1172.33</v>
      </c>
      <c r="G292" s="54">
        <v>0</v>
      </c>
      <c r="H292" s="54">
        <v>0</v>
      </c>
      <c r="I292" s="54">
        <v>0</v>
      </c>
      <c r="J292" s="54">
        <v>0</v>
      </c>
      <c r="K292" s="54">
        <v>0</v>
      </c>
      <c r="L292" s="54">
        <v>0</v>
      </c>
      <c r="M292" s="43"/>
      <c r="N292" s="54">
        <v>0</v>
      </c>
      <c r="O292" s="54">
        <v>0</v>
      </c>
      <c r="P292" s="54">
        <v>0</v>
      </c>
      <c r="Q292" s="54">
        <v>1172.33</v>
      </c>
    </row>
    <row r="293" spans="1:17" ht="26.45">
      <c r="A293" s="47">
        <v>2024</v>
      </c>
      <c r="B293" s="50" t="s">
        <v>1411</v>
      </c>
      <c r="C293" s="50" t="s">
        <v>9005</v>
      </c>
      <c r="D293" s="47" t="s">
        <v>335</v>
      </c>
      <c r="E293" s="48" t="s">
        <v>1046</v>
      </c>
      <c r="F293" s="53">
        <v>420.76</v>
      </c>
      <c r="G293" s="53">
        <v>0</v>
      </c>
      <c r="H293" s="53">
        <v>0</v>
      </c>
      <c r="I293" s="53">
        <v>0</v>
      </c>
      <c r="J293" s="53">
        <v>0</v>
      </c>
      <c r="K293" s="53">
        <v>0</v>
      </c>
      <c r="L293" s="53">
        <v>0</v>
      </c>
      <c r="M293" s="43"/>
      <c r="N293" s="53">
        <v>0</v>
      </c>
      <c r="O293" s="53">
        <v>0</v>
      </c>
      <c r="P293" s="53">
        <v>0</v>
      </c>
      <c r="Q293" s="53">
        <v>420.76</v>
      </c>
    </row>
    <row r="294" spans="1:17" ht="26.45">
      <c r="A294" s="44">
        <v>2024</v>
      </c>
      <c r="B294" s="46" t="s">
        <v>1411</v>
      </c>
      <c r="C294" s="46" t="s">
        <v>9005</v>
      </c>
      <c r="D294" s="44" t="s">
        <v>336</v>
      </c>
      <c r="E294" s="45" t="s">
        <v>1047</v>
      </c>
      <c r="F294" s="54">
        <v>419.91</v>
      </c>
      <c r="G294" s="54">
        <v>0</v>
      </c>
      <c r="H294" s="54">
        <v>0</v>
      </c>
      <c r="I294" s="54">
        <v>0</v>
      </c>
      <c r="J294" s="54">
        <v>0</v>
      </c>
      <c r="K294" s="54">
        <v>0</v>
      </c>
      <c r="L294" s="54">
        <v>-419.91</v>
      </c>
      <c r="M294" s="43"/>
      <c r="N294" s="54">
        <v>0</v>
      </c>
      <c r="O294" s="54">
        <v>0</v>
      </c>
      <c r="P294" s="54">
        <v>0</v>
      </c>
      <c r="Q294" s="54">
        <v>0</v>
      </c>
    </row>
    <row r="295" spans="1:17" ht="26.45">
      <c r="A295" s="47">
        <v>2024</v>
      </c>
      <c r="B295" s="50" t="s">
        <v>1411</v>
      </c>
      <c r="C295" s="50" t="s">
        <v>9005</v>
      </c>
      <c r="D295" s="47" t="s">
        <v>337</v>
      </c>
      <c r="E295" s="48" t="s">
        <v>1048</v>
      </c>
      <c r="F295" s="53">
        <v>1174.8800000000001</v>
      </c>
      <c r="G295" s="53">
        <v>0</v>
      </c>
      <c r="H295" s="53">
        <v>0</v>
      </c>
      <c r="I295" s="53">
        <v>0</v>
      </c>
      <c r="J295" s="53">
        <v>0</v>
      </c>
      <c r="K295" s="53">
        <v>0</v>
      </c>
      <c r="L295" s="53">
        <v>0</v>
      </c>
      <c r="M295" s="43"/>
      <c r="N295" s="53">
        <v>0</v>
      </c>
      <c r="O295" s="53">
        <v>0</v>
      </c>
      <c r="P295" s="53">
        <v>0</v>
      </c>
      <c r="Q295" s="53">
        <v>1174.8800000000001</v>
      </c>
    </row>
    <row r="296" spans="1:17" ht="26.45">
      <c r="A296" s="44">
        <v>2024</v>
      </c>
      <c r="B296" s="46" t="s">
        <v>1411</v>
      </c>
      <c r="C296" s="46" t="s">
        <v>9005</v>
      </c>
      <c r="D296" s="44" t="s">
        <v>338</v>
      </c>
      <c r="E296" s="45" t="s">
        <v>1049</v>
      </c>
      <c r="F296" s="54">
        <v>4903.55</v>
      </c>
      <c r="G296" s="54">
        <v>484.58</v>
      </c>
      <c r="H296" s="54">
        <v>0</v>
      </c>
      <c r="I296" s="54">
        <v>0</v>
      </c>
      <c r="J296" s="54">
        <v>0</v>
      </c>
      <c r="K296" s="54">
        <v>0</v>
      </c>
      <c r="L296" s="54">
        <v>0</v>
      </c>
      <c r="M296" s="43"/>
      <c r="N296" s="54">
        <v>0</v>
      </c>
      <c r="O296" s="54">
        <v>0</v>
      </c>
      <c r="P296" s="54">
        <v>0</v>
      </c>
      <c r="Q296" s="54">
        <v>5388.13</v>
      </c>
    </row>
    <row r="297" spans="1:17" ht="26.45">
      <c r="A297" s="47">
        <v>2024</v>
      </c>
      <c r="B297" s="50" t="s">
        <v>1411</v>
      </c>
      <c r="C297" s="50" t="s">
        <v>9005</v>
      </c>
      <c r="D297" s="47" t="s">
        <v>339</v>
      </c>
      <c r="E297" s="48" t="s">
        <v>1050</v>
      </c>
      <c r="F297" s="53">
        <v>596.67999999999995</v>
      </c>
      <c r="G297" s="53">
        <v>0</v>
      </c>
      <c r="H297" s="53">
        <v>0</v>
      </c>
      <c r="I297" s="53">
        <v>0</v>
      </c>
      <c r="J297" s="53">
        <v>0</v>
      </c>
      <c r="K297" s="53">
        <v>0</v>
      </c>
      <c r="L297" s="53">
        <v>0</v>
      </c>
      <c r="M297" s="43"/>
      <c r="N297" s="53">
        <v>0</v>
      </c>
      <c r="O297" s="53">
        <v>0</v>
      </c>
      <c r="P297" s="53">
        <v>0</v>
      </c>
      <c r="Q297" s="53">
        <v>596.67999999999995</v>
      </c>
    </row>
    <row r="298" spans="1:17" ht="26.45">
      <c r="A298" s="44">
        <v>2024</v>
      </c>
      <c r="B298" s="46" t="s">
        <v>1411</v>
      </c>
      <c r="C298" s="46" t="s">
        <v>9005</v>
      </c>
      <c r="D298" s="44" t="s">
        <v>340</v>
      </c>
      <c r="E298" s="45" t="s">
        <v>1050</v>
      </c>
      <c r="F298" s="54">
        <v>352.19</v>
      </c>
      <c r="G298" s="54">
        <v>0</v>
      </c>
      <c r="H298" s="54">
        <v>0</v>
      </c>
      <c r="I298" s="54">
        <v>0</v>
      </c>
      <c r="J298" s="54">
        <v>0</v>
      </c>
      <c r="K298" s="54">
        <v>0</v>
      </c>
      <c r="L298" s="54">
        <v>0</v>
      </c>
      <c r="M298" s="43"/>
      <c r="N298" s="54">
        <v>0</v>
      </c>
      <c r="O298" s="54">
        <v>0</v>
      </c>
      <c r="P298" s="54">
        <v>0</v>
      </c>
      <c r="Q298" s="54">
        <v>352.19</v>
      </c>
    </row>
    <row r="299" spans="1:17" ht="26.45">
      <c r="A299" s="47">
        <v>2024</v>
      </c>
      <c r="B299" s="50" t="s">
        <v>1411</v>
      </c>
      <c r="C299" s="50" t="s">
        <v>9005</v>
      </c>
      <c r="D299" s="47" t="s">
        <v>341</v>
      </c>
      <c r="E299" s="48" t="s">
        <v>1051</v>
      </c>
      <c r="F299" s="53">
        <v>3256.47</v>
      </c>
      <c r="G299" s="53">
        <v>3219.98</v>
      </c>
      <c r="H299" s="53">
        <v>0</v>
      </c>
      <c r="I299" s="53">
        <v>0</v>
      </c>
      <c r="J299" s="53">
        <v>0</v>
      </c>
      <c r="K299" s="53">
        <v>0</v>
      </c>
      <c r="L299" s="53">
        <v>0</v>
      </c>
      <c r="M299" s="43"/>
      <c r="N299" s="53">
        <v>0</v>
      </c>
      <c r="O299" s="53">
        <v>0</v>
      </c>
      <c r="P299" s="53">
        <v>0</v>
      </c>
      <c r="Q299" s="53">
        <v>6476.45</v>
      </c>
    </row>
    <row r="300" spans="1:17" ht="26.45">
      <c r="A300" s="44">
        <v>2024</v>
      </c>
      <c r="B300" s="46" t="s">
        <v>1411</v>
      </c>
      <c r="C300" s="46" t="s">
        <v>9005</v>
      </c>
      <c r="D300" s="44" t="s">
        <v>342</v>
      </c>
      <c r="E300" s="45" t="s">
        <v>1052</v>
      </c>
      <c r="F300" s="54">
        <v>746.69</v>
      </c>
      <c r="G300" s="54">
        <v>0</v>
      </c>
      <c r="H300" s="54">
        <v>0</v>
      </c>
      <c r="I300" s="54">
        <v>0</v>
      </c>
      <c r="J300" s="54">
        <v>0</v>
      </c>
      <c r="K300" s="54">
        <v>0</v>
      </c>
      <c r="L300" s="54">
        <v>0</v>
      </c>
      <c r="M300" s="43"/>
      <c r="N300" s="54">
        <v>0</v>
      </c>
      <c r="O300" s="54">
        <v>0</v>
      </c>
      <c r="P300" s="54">
        <v>0</v>
      </c>
      <c r="Q300" s="54">
        <v>746.69</v>
      </c>
    </row>
    <row r="301" spans="1:17" ht="26.45">
      <c r="A301" s="47">
        <v>2024</v>
      </c>
      <c r="B301" s="50" t="s">
        <v>1411</v>
      </c>
      <c r="C301" s="50" t="s">
        <v>9005</v>
      </c>
      <c r="D301" s="47" t="s">
        <v>343</v>
      </c>
      <c r="E301" s="48" t="s">
        <v>1053</v>
      </c>
      <c r="F301" s="53">
        <v>749.32</v>
      </c>
      <c r="G301" s="53">
        <v>1098.1500000000001</v>
      </c>
      <c r="H301" s="53">
        <v>0</v>
      </c>
      <c r="I301" s="53">
        <v>0</v>
      </c>
      <c r="J301" s="53">
        <v>0</v>
      </c>
      <c r="K301" s="53">
        <v>0</v>
      </c>
      <c r="L301" s="53">
        <v>0</v>
      </c>
      <c r="M301" s="43"/>
      <c r="N301" s="53">
        <v>0</v>
      </c>
      <c r="O301" s="53">
        <v>0</v>
      </c>
      <c r="P301" s="53">
        <v>0</v>
      </c>
      <c r="Q301" s="53">
        <v>1847.47</v>
      </c>
    </row>
    <row r="302" spans="1:17" ht="26.45">
      <c r="A302" s="44">
        <v>2024</v>
      </c>
      <c r="B302" s="46" t="s">
        <v>1411</v>
      </c>
      <c r="C302" s="46" t="s">
        <v>9005</v>
      </c>
      <c r="D302" s="44" t="s">
        <v>344</v>
      </c>
      <c r="E302" s="45" t="s">
        <v>1054</v>
      </c>
      <c r="F302" s="54">
        <v>13441.71</v>
      </c>
      <c r="G302" s="54">
        <v>2305.7399999999998</v>
      </c>
      <c r="H302" s="54">
        <v>0</v>
      </c>
      <c r="I302" s="54">
        <v>0</v>
      </c>
      <c r="J302" s="54">
        <v>0</v>
      </c>
      <c r="K302" s="54">
        <v>0</v>
      </c>
      <c r="L302" s="54">
        <v>0</v>
      </c>
      <c r="M302" s="43"/>
      <c r="N302" s="54">
        <v>0</v>
      </c>
      <c r="O302" s="54">
        <v>0</v>
      </c>
      <c r="P302" s="54">
        <v>0</v>
      </c>
      <c r="Q302" s="54">
        <v>15747.45</v>
      </c>
    </row>
    <row r="303" spans="1:17" ht="26.45">
      <c r="A303" s="47">
        <v>2024</v>
      </c>
      <c r="B303" s="50" t="s">
        <v>1411</v>
      </c>
      <c r="C303" s="50" t="s">
        <v>9005</v>
      </c>
      <c r="D303" s="47" t="s">
        <v>345</v>
      </c>
      <c r="E303" s="48" t="s">
        <v>1055</v>
      </c>
      <c r="F303" s="53">
        <v>421.21</v>
      </c>
      <c r="G303" s="53">
        <v>0</v>
      </c>
      <c r="H303" s="53">
        <v>0</v>
      </c>
      <c r="I303" s="53">
        <v>0</v>
      </c>
      <c r="J303" s="53">
        <v>0</v>
      </c>
      <c r="K303" s="53">
        <v>0</v>
      </c>
      <c r="L303" s="53">
        <v>0</v>
      </c>
      <c r="M303" s="43"/>
      <c r="N303" s="53">
        <v>0</v>
      </c>
      <c r="O303" s="53">
        <v>0</v>
      </c>
      <c r="P303" s="53">
        <v>0</v>
      </c>
      <c r="Q303" s="53">
        <v>421.21</v>
      </c>
    </row>
    <row r="304" spans="1:17" ht="26.45">
      <c r="A304" s="44">
        <v>2024</v>
      </c>
      <c r="B304" s="46" t="s">
        <v>1411</v>
      </c>
      <c r="C304" s="46" t="s">
        <v>9005</v>
      </c>
      <c r="D304" s="44" t="s">
        <v>346</v>
      </c>
      <c r="E304" s="45" t="s">
        <v>1056</v>
      </c>
      <c r="F304" s="54">
        <v>8921.06</v>
      </c>
      <c r="G304" s="54">
        <v>7386.8</v>
      </c>
      <c r="H304" s="54">
        <v>0</v>
      </c>
      <c r="I304" s="54">
        <v>0</v>
      </c>
      <c r="J304" s="54">
        <v>0</v>
      </c>
      <c r="K304" s="54">
        <v>0</v>
      </c>
      <c r="L304" s="54">
        <v>0</v>
      </c>
      <c r="M304" s="43"/>
      <c r="N304" s="54">
        <v>0</v>
      </c>
      <c r="O304" s="54">
        <v>0</v>
      </c>
      <c r="P304" s="54">
        <v>0</v>
      </c>
      <c r="Q304" s="54">
        <v>16307.86</v>
      </c>
    </row>
    <row r="305" spans="1:17" ht="26.45">
      <c r="A305" s="47">
        <v>2024</v>
      </c>
      <c r="B305" s="50" t="s">
        <v>1411</v>
      </c>
      <c r="C305" s="50" t="s">
        <v>9005</v>
      </c>
      <c r="D305" s="47" t="s">
        <v>347</v>
      </c>
      <c r="E305" s="48" t="s">
        <v>1061</v>
      </c>
      <c r="F305" s="53">
        <v>443.82</v>
      </c>
      <c r="G305" s="53">
        <v>0</v>
      </c>
      <c r="H305" s="53">
        <v>0</v>
      </c>
      <c r="I305" s="53">
        <v>0</v>
      </c>
      <c r="J305" s="53">
        <v>0</v>
      </c>
      <c r="K305" s="53">
        <v>0</v>
      </c>
      <c r="L305" s="53">
        <v>0</v>
      </c>
      <c r="M305" s="43"/>
      <c r="N305" s="53">
        <v>0</v>
      </c>
      <c r="O305" s="53">
        <v>0</v>
      </c>
      <c r="P305" s="53">
        <v>0</v>
      </c>
      <c r="Q305" s="53">
        <v>443.82</v>
      </c>
    </row>
    <row r="306" spans="1:17" ht="26.45">
      <c r="A306" s="44">
        <v>2024</v>
      </c>
      <c r="B306" s="46" t="s">
        <v>1411</v>
      </c>
      <c r="C306" s="46" t="s">
        <v>9005</v>
      </c>
      <c r="D306" s="44" t="s">
        <v>348</v>
      </c>
      <c r="E306" s="45" t="s">
        <v>1062</v>
      </c>
      <c r="F306" s="54">
        <v>1409.41</v>
      </c>
      <c r="G306" s="54">
        <v>0</v>
      </c>
      <c r="H306" s="54">
        <v>0</v>
      </c>
      <c r="I306" s="54">
        <v>0</v>
      </c>
      <c r="J306" s="54">
        <v>0</v>
      </c>
      <c r="K306" s="54">
        <v>0</v>
      </c>
      <c r="L306" s="54">
        <v>0</v>
      </c>
      <c r="M306" s="43"/>
      <c r="N306" s="54">
        <v>0</v>
      </c>
      <c r="O306" s="54">
        <v>0</v>
      </c>
      <c r="P306" s="54">
        <v>0</v>
      </c>
      <c r="Q306" s="54">
        <v>1409.41</v>
      </c>
    </row>
    <row r="307" spans="1:17" ht="26.45">
      <c r="A307" s="47">
        <v>2024</v>
      </c>
      <c r="B307" s="50" t="s">
        <v>1411</v>
      </c>
      <c r="C307" s="50" t="s">
        <v>9005</v>
      </c>
      <c r="D307" s="47" t="s">
        <v>349</v>
      </c>
      <c r="E307" s="48" t="s">
        <v>1067</v>
      </c>
      <c r="F307" s="53">
        <v>357.74</v>
      </c>
      <c r="G307" s="53">
        <v>0</v>
      </c>
      <c r="H307" s="53">
        <v>0</v>
      </c>
      <c r="I307" s="53">
        <v>0</v>
      </c>
      <c r="J307" s="53">
        <v>0</v>
      </c>
      <c r="K307" s="53">
        <v>0</v>
      </c>
      <c r="L307" s="53">
        <v>-357.74</v>
      </c>
      <c r="M307" s="43"/>
      <c r="N307" s="53">
        <v>0</v>
      </c>
      <c r="O307" s="53">
        <v>0</v>
      </c>
      <c r="P307" s="53">
        <v>0</v>
      </c>
      <c r="Q307" s="53">
        <v>0</v>
      </c>
    </row>
    <row r="308" spans="1:17" ht="26.45">
      <c r="A308" s="44">
        <v>2024</v>
      </c>
      <c r="B308" s="46" t="s">
        <v>1411</v>
      </c>
      <c r="C308" s="46" t="s">
        <v>9005</v>
      </c>
      <c r="D308" s="44" t="s">
        <v>350</v>
      </c>
      <c r="E308" s="45" t="s">
        <v>1068</v>
      </c>
      <c r="F308" s="54">
        <v>1804.5</v>
      </c>
      <c r="G308" s="54">
        <v>2452.98</v>
      </c>
      <c r="H308" s="54">
        <v>0</v>
      </c>
      <c r="I308" s="54">
        <v>0</v>
      </c>
      <c r="J308" s="54">
        <v>0</v>
      </c>
      <c r="K308" s="54">
        <v>0</v>
      </c>
      <c r="L308" s="54">
        <v>0</v>
      </c>
      <c r="M308" s="43"/>
      <c r="N308" s="54">
        <v>0</v>
      </c>
      <c r="O308" s="54">
        <v>0</v>
      </c>
      <c r="P308" s="54">
        <v>0</v>
      </c>
      <c r="Q308" s="54">
        <v>4257.4799999999996</v>
      </c>
    </row>
    <row r="309" spans="1:17" ht="26.45">
      <c r="A309" s="47">
        <v>2024</v>
      </c>
      <c r="B309" s="50" t="s">
        <v>1411</v>
      </c>
      <c r="C309" s="50" t="s">
        <v>9005</v>
      </c>
      <c r="D309" s="47" t="s">
        <v>351</v>
      </c>
      <c r="E309" s="48" t="s">
        <v>1069</v>
      </c>
      <c r="F309" s="53">
        <v>646.88</v>
      </c>
      <c r="G309" s="53">
        <v>289.45</v>
      </c>
      <c r="H309" s="53">
        <v>0</v>
      </c>
      <c r="I309" s="53">
        <v>0</v>
      </c>
      <c r="J309" s="53">
        <v>0</v>
      </c>
      <c r="K309" s="53">
        <v>0</v>
      </c>
      <c r="L309" s="53">
        <v>0</v>
      </c>
      <c r="M309" s="43"/>
      <c r="N309" s="53">
        <v>0</v>
      </c>
      <c r="O309" s="53">
        <v>0</v>
      </c>
      <c r="P309" s="53">
        <v>0</v>
      </c>
      <c r="Q309" s="53">
        <v>936.33</v>
      </c>
    </row>
    <row r="310" spans="1:17" ht="26.45">
      <c r="A310" s="44">
        <v>2024</v>
      </c>
      <c r="B310" s="46" t="s">
        <v>1411</v>
      </c>
      <c r="C310" s="46" t="s">
        <v>9005</v>
      </c>
      <c r="D310" s="44" t="s">
        <v>352</v>
      </c>
      <c r="E310" s="45" t="s">
        <v>1070</v>
      </c>
      <c r="F310" s="54">
        <v>28601.43</v>
      </c>
      <c r="G310" s="54">
        <v>1269.1600000000001</v>
      </c>
      <c r="H310" s="54">
        <v>0</v>
      </c>
      <c r="I310" s="54">
        <v>0</v>
      </c>
      <c r="J310" s="54">
        <v>0</v>
      </c>
      <c r="K310" s="54">
        <v>0</v>
      </c>
      <c r="L310" s="54">
        <v>0</v>
      </c>
      <c r="M310" s="43"/>
      <c r="N310" s="54">
        <v>0</v>
      </c>
      <c r="O310" s="54">
        <v>0</v>
      </c>
      <c r="P310" s="54">
        <v>0</v>
      </c>
      <c r="Q310" s="54">
        <v>29870.59</v>
      </c>
    </row>
    <row r="311" spans="1:17" ht="26.45">
      <c r="A311" s="44">
        <v>2024</v>
      </c>
      <c r="B311" s="46" t="s">
        <v>1411</v>
      </c>
      <c r="C311" s="46" t="s">
        <v>9005</v>
      </c>
      <c r="D311" s="44" t="s">
        <v>353</v>
      </c>
      <c r="E311" s="45" t="s">
        <v>1077</v>
      </c>
      <c r="F311" s="54">
        <v>562.74</v>
      </c>
      <c r="G311" s="54">
        <v>0</v>
      </c>
      <c r="H311" s="54">
        <v>0</v>
      </c>
      <c r="I311" s="54">
        <v>0</v>
      </c>
      <c r="J311" s="54">
        <v>0</v>
      </c>
      <c r="K311" s="54">
        <v>0</v>
      </c>
      <c r="L311" s="54">
        <v>0</v>
      </c>
      <c r="M311" s="43"/>
      <c r="N311" s="54">
        <v>0</v>
      </c>
      <c r="O311" s="54">
        <v>0</v>
      </c>
      <c r="P311" s="54">
        <v>0</v>
      </c>
      <c r="Q311" s="54">
        <v>562.74</v>
      </c>
    </row>
    <row r="312" spans="1:17" ht="26.45">
      <c r="A312" s="47">
        <v>2024</v>
      </c>
      <c r="B312" s="50" t="s">
        <v>1411</v>
      </c>
      <c r="C312" s="50" t="s">
        <v>9005</v>
      </c>
      <c r="D312" s="47" t="s">
        <v>354</v>
      </c>
      <c r="E312" s="48" t="s">
        <v>1078</v>
      </c>
      <c r="F312" s="53">
        <v>351.81</v>
      </c>
      <c r="G312" s="53">
        <v>0</v>
      </c>
      <c r="H312" s="53">
        <v>0</v>
      </c>
      <c r="I312" s="53">
        <v>0</v>
      </c>
      <c r="J312" s="53">
        <v>0</v>
      </c>
      <c r="K312" s="53">
        <v>0</v>
      </c>
      <c r="L312" s="53">
        <v>0</v>
      </c>
      <c r="M312" s="43"/>
      <c r="N312" s="53">
        <v>0</v>
      </c>
      <c r="O312" s="53">
        <v>0</v>
      </c>
      <c r="P312" s="53">
        <v>0</v>
      </c>
      <c r="Q312" s="53">
        <v>351.81</v>
      </c>
    </row>
    <row r="313" spans="1:17" ht="26.45">
      <c r="A313" s="47">
        <v>2024</v>
      </c>
      <c r="B313" s="50" t="s">
        <v>1411</v>
      </c>
      <c r="C313" s="50" t="s">
        <v>9005</v>
      </c>
      <c r="D313" s="47" t="s">
        <v>355</v>
      </c>
      <c r="E313" s="48" t="s">
        <v>1081</v>
      </c>
      <c r="F313" s="53">
        <v>8084.23</v>
      </c>
      <c r="G313" s="53">
        <v>50.92</v>
      </c>
      <c r="H313" s="53">
        <v>0</v>
      </c>
      <c r="I313" s="53">
        <v>0</v>
      </c>
      <c r="J313" s="53">
        <v>0</v>
      </c>
      <c r="K313" s="53">
        <v>0</v>
      </c>
      <c r="L313" s="53">
        <v>0</v>
      </c>
      <c r="M313" s="43"/>
      <c r="N313" s="53">
        <v>0</v>
      </c>
      <c r="O313" s="53">
        <v>0</v>
      </c>
      <c r="P313" s="53">
        <v>0</v>
      </c>
      <c r="Q313" s="53">
        <v>8135.15</v>
      </c>
    </row>
    <row r="314" spans="1:17" ht="26.45">
      <c r="A314" s="44">
        <v>2024</v>
      </c>
      <c r="B314" s="46" t="s">
        <v>1411</v>
      </c>
      <c r="C314" s="46" t="s">
        <v>9005</v>
      </c>
      <c r="D314" s="44" t="s">
        <v>356</v>
      </c>
      <c r="E314" s="45" t="s">
        <v>1082</v>
      </c>
      <c r="F314" s="54">
        <v>22328.62</v>
      </c>
      <c r="G314" s="54">
        <v>12731.67</v>
      </c>
      <c r="H314" s="54">
        <v>0</v>
      </c>
      <c r="I314" s="54">
        <v>0</v>
      </c>
      <c r="J314" s="54">
        <v>0</v>
      </c>
      <c r="K314" s="54">
        <v>0</v>
      </c>
      <c r="L314" s="54">
        <v>0</v>
      </c>
      <c r="M314" s="43"/>
      <c r="N314" s="54">
        <v>0</v>
      </c>
      <c r="O314" s="54">
        <v>0</v>
      </c>
      <c r="P314" s="54">
        <v>0</v>
      </c>
      <c r="Q314" s="54">
        <v>35060.29</v>
      </c>
    </row>
    <row r="315" spans="1:17" ht="26.45">
      <c r="A315" s="47">
        <v>2024</v>
      </c>
      <c r="B315" s="50" t="s">
        <v>1411</v>
      </c>
      <c r="C315" s="50" t="s">
        <v>9005</v>
      </c>
      <c r="D315" s="47" t="s">
        <v>357</v>
      </c>
      <c r="E315" s="48" t="s">
        <v>1083</v>
      </c>
      <c r="F315" s="53">
        <v>487.77</v>
      </c>
      <c r="G315" s="53">
        <v>0</v>
      </c>
      <c r="H315" s="53">
        <v>0</v>
      </c>
      <c r="I315" s="53">
        <v>0</v>
      </c>
      <c r="J315" s="53">
        <v>0</v>
      </c>
      <c r="K315" s="53">
        <v>0</v>
      </c>
      <c r="L315" s="53">
        <v>-487.77</v>
      </c>
      <c r="M315" s="43"/>
      <c r="N315" s="53">
        <v>0</v>
      </c>
      <c r="O315" s="53">
        <v>0</v>
      </c>
      <c r="P315" s="53">
        <v>0</v>
      </c>
      <c r="Q315" s="53">
        <v>0</v>
      </c>
    </row>
    <row r="316" spans="1:17" ht="26.45">
      <c r="A316" s="44">
        <v>2024</v>
      </c>
      <c r="B316" s="46" t="s">
        <v>1411</v>
      </c>
      <c r="C316" s="46" t="s">
        <v>9005</v>
      </c>
      <c r="D316" s="44" t="s">
        <v>358</v>
      </c>
      <c r="E316" s="45" t="s">
        <v>1084</v>
      </c>
      <c r="F316" s="54">
        <v>490.69</v>
      </c>
      <c r="G316" s="54">
        <v>0</v>
      </c>
      <c r="H316" s="54">
        <v>0</v>
      </c>
      <c r="I316" s="54">
        <v>0</v>
      </c>
      <c r="J316" s="54">
        <v>0</v>
      </c>
      <c r="K316" s="54">
        <v>0</v>
      </c>
      <c r="L316" s="54">
        <v>-490.69</v>
      </c>
      <c r="M316" s="43"/>
      <c r="N316" s="54">
        <v>0</v>
      </c>
      <c r="O316" s="54">
        <v>0</v>
      </c>
      <c r="P316" s="54">
        <v>0</v>
      </c>
      <c r="Q316" s="54">
        <v>0</v>
      </c>
    </row>
    <row r="317" spans="1:17" ht="26.45">
      <c r="A317" s="44">
        <v>2024</v>
      </c>
      <c r="B317" s="46" t="s">
        <v>1411</v>
      </c>
      <c r="C317" s="46" t="s">
        <v>9005</v>
      </c>
      <c r="D317" s="44" t="s">
        <v>359</v>
      </c>
      <c r="E317" s="45" t="s">
        <v>1087</v>
      </c>
      <c r="F317" s="54">
        <v>16141.81</v>
      </c>
      <c r="G317" s="54">
        <v>1240.1099999999999</v>
      </c>
      <c r="H317" s="54">
        <v>0</v>
      </c>
      <c r="I317" s="54">
        <v>0</v>
      </c>
      <c r="J317" s="54">
        <v>0</v>
      </c>
      <c r="K317" s="54">
        <v>0</v>
      </c>
      <c r="L317" s="54">
        <v>0</v>
      </c>
      <c r="M317" s="43"/>
      <c r="N317" s="54">
        <v>0</v>
      </c>
      <c r="O317" s="54">
        <v>0</v>
      </c>
      <c r="P317" s="54">
        <v>0</v>
      </c>
      <c r="Q317" s="54">
        <v>17381.919999999998</v>
      </c>
    </row>
    <row r="318" spans="1:17" ht="39.6">
      <c r="A318" s="47">
        <v>2024</v>
      </c>
      <c r="B318" s="50" t="s">
        <v>1411</v>
      </c>
      <c r="C318" s="50" t="s">
        <v>9005</v>
      </c>
      <c r="D318" s="47" t="s">
        <v>360</v>
      </c>
      <c r="E318" s="48" t="s">
        <v>1088</v>
      </c>
      <c r="F318" s="53">
        <v>1114.26</v>
      </c>
      <c r="G318" s="53">
        <v>0</v>
      </c>
      <c r="H318" s="53">
        <v>0</v>
      </c>
      <c r="I318" s="53">
        <v>0</v>
      </c>
      <c r="J318" s="53">
        <v>0</v>
      </c>
      <c r="K318" s="53">
        <v>0</v>
      </c>
      <c r="L318" s="53">
        <v>0</v>
      </c>
      <c r="M318" s="43"/>
      <c r="N318" s="53">
        <v>0</v>
      </c>
      <c r="O318" s="53">
        <v>0</v>
      </c>
      <c r="P318" s="53">
        <v>0</v>
      </c>
      <c r="Q318" s="53">
        <v>1114.26</v>
      </c>
    </row>
    <row r="319" spans="1:17" ht="26.45">
      <c r="A319" s="44">
        <v>2024</v>
      </c>
      <c r="B319" s="46" t="s">
        <v>1411</v>
      </c>
      <c r="C319" s="46" t="s">
        <v>9005</v>
      </c>
      <c r="D319" s="44" t="s">
        <v>361</v>
      </c>
      <c r="E319" s="45" t="s">
        <v>1089</v>
      </c>
      <c r="F319" s="54">
        <v>671.51</v>
      </c>
      <c r="G319" s="54">
        <v>0</v>
      </c>
      <c r="H319" s="54">
        <v>0</v>
      </c>
      <c r="I319" s="54">
        <v>0</v>
      </c>
      <c r="J319" s="54">
        <v>0</v>
      </c>
      <c r="K319" s="54">
        <v>0</v>
      </c>
      <c r="L319" s="54">
        <v>-671.51</v>
      </c>
      <c r="M319" s="43"/>
      <c r="N319" s="54">
        <v>0</v>
      </c>
      <c r="O319" s="54">
        <v>0</v>
      </c>
      <c r="P319" s="54">
        <v>0</v>
      </c>
      <c r="Q319" s="54">
        <v>0</v>
      </c>
    </row>
    <row r="320" spans="1:17" ht="26.45">
      <c r="A320" s="47">
        <v>2024</v>
      </c>
      <c r="B320" s="50" t="s">
        <v>1411</v>
      </c>
      <c r="C320" s="50" t="s">
        <v>9005</v>
      </c>
      <c r="D320" s="47" t="s">
        <v>362</v>
      </c>
      <c r="E320" s="48" t="s">
        <v>1090</v>
      </c>
      <c r="F320" s="53">
        <v>720.85</v>
      </c>
      <c r="G320" s="53">
        <v>0</v>
      </c>
      <c r="H320" s="53">
        <v>0</v>
      </c>
      <c r="I320" s="53">
        <v>0</v>
      </c>
      <c r="J320" s="53">
        <v>0</v>
      </c>
      <c r="K320" s="53">
        <v>0</v>
      </c>
      <c r="L320" s="53">
        <v>0</v>
      </c>
      <c r="M320" s="43"/>
      <c r="N320" s="53">
        <v>0</v>
      </c>
      <c r="O320" s="53">
        <v>0</v>
      </c>
      <c r="P320" s="53">
        <v>0</v>
      </c>
      <c r="Q320" s="53">
        <v>720.85</v>
      </c>
    </row>
    <row r="321" spans="1:17" ht="26.45">
      <c r="A321" s="44">
        <v>2024</v>
      </c>
      <c r="B321" s="46" t="s">
        <v>1411</v>
      </c>
      <c r="C321" s="46" t="s">
        <v>9005</v>
      </c>
      <c r="D321" s="44" t="s">
        <v>363</v>
      </c>
      <c r="E321" s="45" t="s">
        <v>1091</v>
      </c>
      <c r="F321" s="54">
        <v>215.2</v>
      </c>
      <c r="G321" s="54">
        <v>0</v>
      </c>
      <c r="H321" s="54">
        <v>0</v>
      </c>
      <c r="I321" s="54">
        <v>0</v>
      </c>
      <c r="J321" s="54">
        <v>0</v>
      </c>
      <c r="K321" s="54">
        <v>0</v>
      </c>
      <c r="L321" s="54">
        <v>0</v>
      </c>
      <c r="M321" s="43"/>
      <c r="N321" s="54">
        <v>0</v>
      </c>
      <c r="O321" s="54">
        <v>0</v>
      </c>
      <c r="P321" s="54">
        <v>0</v>
      </c>
      <c r="Q321" s="54">
        <v>215.2</v>
      </c>
    </row>
    <row r="322" spans="1:17" ht="26.45">
      <c r="A322" s="47">
        <v>2024</v>
      </c>
      <c r="B322" s="50" t="s">
        <v>1411</v>
      </c>
      <c r="C322" s="50" t="s">
        <v>9005</v>
      </c>
      <c r="D322" s="47" t="s">
        <v>364</v>
      </c>
      <c r="E322" s="48" t="s">
        <v>1092</v>
      </c>
      <c r="F322" s="53">
        <v>6032.43</v>
      </c>
      <c r="G322" s="53">
        <v>5858.76</v>
      </c>
      <c r="H322" s="53">
        <v>0</v>
      </c>
      <c r="I322" s="53">
        <v>0</v>
      </c>
      <c r="J322" s="53">
        <v>0</v>
      </c>
      <c r="K322" s="53">
        <v>0</v>
      </c>
      <c r="L322" s="53">
        <v>0</v>
      </c>
      <c r="M322" s="43"/>
      <c r="N322" s="53">
        <v>0</v>
      </c>
      <c r="O322" s="53">
        <v>0</v>
      </c>
      <c r="P322" s="53">
        <v>0</v>
      </c>
      <c r="Q322" s="53">
        <v>11891.19</v>
      </c>
    </row>
    <row r="323" spans="1:17" ht="26.45">
      <c r="A323" s="44">
        <v>2024</v>
      </c>
      <c r="B323" s="46" t="s">
        <v>1411</v>
      </c>
      <c r="C323" s="46" t="s">
        <v>9005</v>
      </c>
      <c r="D323" s="44" t="s">
        <v>365</v>
      </c>
      <c r="E323" s="45" t="s">
        <v>1093</v>
      </c>
      <c r="F323" s="54">
        <v>1421.38</v>
      </c>
      <c r="G323" s="54">
        <v>0</v>
      </c>
      <c r="H323" s="54">
        <v>0</v>
      </c>
      <c r="I323" s="54">
        <v>0</v>
      </c>
      <c r="J323" s="54">
        <v>0</v>
      </c>
      <c r="K323" s="54">
        <v>0</v>
      </c>
      <c r="L323" s="54">
        <v>0</v>
      </c>
      <c r="M323" s="43"/>
      <c r="N323" s="54">
        <v>0</v>
      </c>
      <c r="O323" s="54">
        <v>0</v>
      </c>
      <c r="P323" s="54">
        <v>0</v>
      </c>
      <c r="Q323" s="54">
        <v>1421.38</v>
      </c>
    </row>
    <row r="324" spans="1:17" ht="26.45">
      <c r="A324" s="47">
        <v>2024</v>
      </c>
      <c r="B324" s="50" t="s">
        <v>1411</v>
      </c>
      <c r="C324" s="50" t="s">
        <v>9005</v>
      </c>
      <c r="D324" s="47" t="s">
        <v>366</v>
      </c>
      <c r="E324" s="48" t="s">
        <v>1094</v>
      </c>
      <c r="F324" s="53">
        <v>125709.48</v>
      </c>
      <c r="G324" s="53">
        <v>34079.4</v>
      </c>
      <c r="H324" s="53">
        <v>0</v>
      </c>
      <c r="I324" s="53">
        <v>0</v>
      </c>
      <c r="J324" s="53">
        <v>0</v>
      </c>
      <c r="K324" s="53">
        <v>0</v>
      </c>
      <c r="L324" s="53">
        <v>0</v>
      </c>
      <c r="M324" s="43"/>
      <c r="N324" s="53">
        <v>0</v>
      </c>
      <c r="O324" s="53">
        <v>0</v>
      </c>
      <c r="P324" s="53">
        <v>0</v>
      </c>
      <c r="Q324" s="53">
        <v>159788.88</v>
      </c>
    </row>
    <row r="325" spans="1:17" ht="26.45">
      <c r="A325" s="44">
        <v>2024</v>
      </c>
      <c r="B325" s="46" t="s">
        <v>1411</v>
      </c>
      <c r="C325" s="46" t="s">
        <v>9005</v>
      </c>
      <c r="D325" s="44" t="s">
        <v>367</v>
      </c>
      <c r="E325" s="45" t="s">
        <v>1095</v>
      </c>
      <c r="F325" s="54">
        <v>3247.31</v>
      </c>
      <c r="G325" s="54">
        <v>655.69</v>
      </c>
      <c r="H325" s="54">
        <v>0</v>
      </c>
      <c r="I325" s="54">
        <v>0</v>
      </c>
      <c r="J325" s="54">
        <v>0</v>
      </c>
      <c r="K325" s="54">
        <v>0</v>
      </c>
      <c r="L325" s="54">
        <v>0</v>
      </c>
      <c r="M325" s="43"/>
      <c r="N325" s="54">
        <v>0</v>
      </c>
      <c r="O325" s="54">
        <v>0</v>
      </c>
      <c r="P325" s="54">
        <v>0</v>
      </c>
      <c r="Q325" s="54">
        <v>3903</v>
      </c>
    </row>
    <row r="326" spans="1:17" ht="26.45">
      <c r="A326" s="47">
        <v>2024</v>
      </c>
      <c r="B326" s="50" t="s">
        <v>1411</v>
      </c>
      <c r="C326" s="50" t="s">
        <v>9005</v>
      </c>
      <c r="D326" s="47" t="s">
        <v>368</v>
      </c>
      <c r="E326" s="48" t="s">
        <v>1096</v>
      </c>
      <c r="F326" s="53">
        <v>20736.689999999999</v>
      </c>
      <c r="G326" s="53">
        <v>0</v>
      </c>
      <c r="H326" s="53">
        <v>0</v>
      </c>
      <c r="I326" s="53">
        <v>0</v>
      </c>
      <c r="J326" s="53">
        <v>0</v>
      </c>
      <c r="K326" s="53">
        <v>0</v>
      </c>
      <c r="L326" s="53">
        <v>0</v>
      </c>
      <c r="M326" s="43"/>
      <c r="N326" s="53">
        <v>0</v>
      </c>
      <c r="O326" s="53">
        <v>0</v>
      </c>
      <c r="P326" s="53">
        <v>0</v>
      </c>
      <c r="Q326" s="53">
        <v>20736.689999999999</v>
      </c>
    </row>
    <row r="327" spans="1:17" ht="26.45">
      <c r="A327" s="47">
        <v>2024</v>
      </c>
      <c r="B327" s="50" t="s">
        <v>1411</v>
      </c>
      <c r="C327" s="50" t="s">
        <v>9005</v>
      </c>
      <c r="D327" s="47" t="s">
        <v>369</v>
      </c>
      <c r="E327" s="48" t="s">
        <v>1099</v>
      </c>
      <c r="F327" s="53">
        <v>424.98</v>
      </c>
      <c r="G327" s="53">
        <v>14.22</v>
      </c>
      <c r="H327" s="53">
        <v>0</v>
      </c>
      <c r="I327" s="53">
        <v>0</v>
      </c>
      <c r="J327" s="53">
        <v>0</v>
      </c>
      <c r="K327" s="53">
        <v>0</v>
      </c>
      <c r="L327" s="53">
        <v>0</v>
      </c>
      <c r="M327" s="43"/>
      <c r="N327" s="53">
        <v>0</v>
      </c>
      <c r="O327" s="53">
        <v>0</v>
      </c>
      <c r="P327" s="53">
        <v>0</v>
      </c>
      <c r="Q327" s="53">
        <v>439.2</v>
      </c>
    </row>
    <row r="328" spans="1:17" ht="26.45">
      <c r="A328" s="44">
        <v>2024</v>
      </c>
      <c r="B328" s="46" t="s">
        <v>1411</v>
      </c>
      <c r="C328" s="46" t="s">
        <v>9005</v>
      </c>
      <c r="D328" s="44" t="s">
        <v>370</v>
      </c>
      <c r="E328" s="45" t="s">
        <v>1100</v>
      </c>
      <c r="F328" s="54">
        <v>353.46</v>
      </c>
      <c r="G328" s="54">
        <v>0</v>
      </c>
      <c r="H328" s="54">
        <v>0</v>
      </c>
      <c r="I328" s="54">
        <v>0</v>
      </c>
      <c r="J328" s="54">
        <v>0</v>
      </c>
      <c r="K328" s="54">
        <v>0</v>
      </c>
      <c r="L328" s="54">
        <v>-353.46</v>
      </c>
      <c r="M328" s="43"/>
      <c r="N328" s="54">
        <v>0</v>
      </c>
      <c r="O328" s="54">
        <v>0</v>
      </c>
      <c r="P328" s="54">
        <v>0</v>
      </c>
      <c r="Q328" s="54">
        <v>0</v>
      </c>
    </row>
    <row r="329" spans="1:17" ht="26.45">
      <c r="A329" s="44">
        <v>2024</v>
      </c>
      <c r="B329" s="46" t="s">
        <v>1411</v>
      </c>
      <c r="C329" s="46" t="s">
        <v>9005</v>
      </c>
      <c r="D329" s="44" t="s">
        <v>371</v>
      </c>
      <c r="E329" s="45" t="s">
        <v>1103</v>
      </c>
      <c r="F329" s="54">
        <v>2127.0500000000002</v>
      </c>
      <c r="G329" s="54">
        <v>0</v>
      </c>
      <c r="H329" s="54">
        <v>0</v>
      </c>
      <c r="I329" s="54">
        <v>0</v>
      </c>
      <c r="J329" s="54">
        <v>0</v>
      </c>
      <c r="K329" s="54">
        <v>0</v>
      </c>
      <c r="L329" s="54">
        <v>0</v>
      </c>
      <c r="M329" s="43"/>
      <c r="N329" s="54">
        <v>0</v>
      </c>
      <c r="O329" s="54">
        <v>0</v>
      </c>
      <c r="P329" s="54">
        <v>0</v>
      </c>
      <c r="Q329" s="54">
        <v>2127.0500000000002</v>
      </c>
    </row>
    <row r="330" spans="1:17" ht="26.45">
      <c r="A330" s="47">
        <v>2024</v>
      </c>
      <c r="B330" s="50" t="s">
        <v>1411</v>
      </c>
      <c r="C330" s="50" t="s">
        <v>9005</v>
      </c>
      <c r="D330" s="47" t="s">
        <v>372</v>
      </c>
      <c r="E330" s="48" t="s">
        <v>1108</v>
      </c>
      <c r="F330" s="53">
        <v>14479.53</v>
      </c>
      <c r="G330" s="53">
        <v>21030.98</v>
      </c>
      <c r="H330" s="53">
        <v>0</v>
      </c>
      <c r="I330" s="53">
        <v>0</v>
      </c>
      <c r="J330" s="53">
        <v>0</v>
      </c>
      <c r="K330" s="53">
        <v>0</v>
      </c>
      <c r="L330" s="53">
        <v>0</v>
      </c>
      <c r="M330" s="43"/>
      <c r="N330" s="53">
        <v>0</v>
      </c>
      <c r="O330" s="53">
        <v>-6584</v>
      </c>
      <c r="P330" s="53">
        <v>0</v>
      </c>
      <c r="Q330" s="53">
        <v>28926.51</v>
      </c>
    </row>
    <row r="331" spans="1:17" ht="26.45">
      <c r="A331" s="44">
        <v>2024</v>
      </c>
      <c r="B331" s="46" t="s">
        <v>1411</v>
      </c>
      <c r="C331" s="46" t="s">
        <v>9005</v>
      </c>
      <c r="D331" s="44" t="s">
        <v>373</v>
      </c>
      <c r="E331" s="45" t="s">
        <v>1109</v>
      </c>
      <c r="F331" s="54">
        <v>457.4</v>
      </c>
      <c r="G331" s="54">
        <v>0</v>
      </c>
      <c r="H331" s="54">
        <v>0</v>
      </c>
      <c r="I331" s="54">
        <v>0</v>
      </c>
      <c r="J331" s="54">
        <v>0</v>
      </c>
      <c r="K331" s="54">
        <v>0</v>
      </c>
      <c r="L331" s="54">
        <v>-457.4</v>
      </c>
      <c r="M331" s="43"/>
      <c r="N331" s="54">
        <v>0</v>
      </c>
      <c r="O331" s="54">
        <v>0</v>
      </c>
      <c r="P331" s="54">
        <v>0</v>
      </c>
      <c r="Q331" s="54">
        <v>0</v>
      </c>
    </row>
    <row r="332" spans="1:17" ht="26.45">
      <c r="A332" s="47">
        <v>2024</v>
      </c>
      <c r="B332" s="50" t="s">
        <v>1411</v>
      </c>
      <c r="C332" s="50" t="s">
        <v>9005</v>
      </c>
      <c r="D332" s="47" t="s">
        <v>374</v>
      </c>
      <c r="E332" s="48" t="s">
        <v>1110</v>
      </c>
      <c r="F332" s="53">
        <v>802.73</v>
      </c>
      <c r="G332" s="53">
        <v>0</v>
      </c>
      <c r="H332" s="53">
        <v>0</v>
      </c>
      <c r="I332" s="53">
        <v>0</v>
      </c>
      <c r="J332" s="53">
        <v>0</v>
      </c>
      <c r="K332" s="53">
        <v>0</v>
      </c>
      <c r="L332" s="53">
        <v>0</v>
      </c>
      <c r="M332" s="43"/>
      <c r="N332" s="53">
        <v>0</v>
      </c>
      <c r="O332" s="53">
        <v>0</v>
      </c>
      <c r="P332" s="53">
        <v>0</v>
      </c>
      <c r="Q332" s="53">
        <v>802.73</v>
      </c>
    </row>
    <row r="333" spans="1:17" ht="26.45">
      <c r="A333" s="44">
        <v>2024</v>
      </c>
      <c r="B333" s="46" t="s">
        <v>1411</v>
      </c>
      <c r="C333" s="46" t="s">
        <v>9005</v>
      </c>
      <c r="D333" s="44" t="s">
        <v>375</v>
      </c>
      <c r="E333" s="45" t="s">
        <v>1111</v>
      </c>
      <c r="F333" s="54">
        <v>68565.83</v>
      </c>
      <c r="G333" s="54">
        <v>15082.05</v>
      </c>
      <c r="H333" s="54">
        <v>0</v>
      </c>
      <c r="I333" s="54">
        <v>0</v>
      </c>
      <c r="J333" s="54">
        <v>0</v>
      </c>
      <c r="K333" s="54">
        <v>0</v>
      </c>
      <c r="L333" s="54">
        <v>0</v>
      </c>
      <c r="M333" s="43"/>
      <c r="N333" s="54">
        <v>0</v>
      </c>
      <c r="O333" s="54">
        <v>0</v>
      </c>
      <c r="P333" s="54">
        <v>0</v>
      </c>
      <c r="Q333" s="54">
        <v>83647.88</v>
      </c>
    </row>
    <row r="334" spans="1:17" ht="26.45">
      <c r="A334" s="44">
        <v>2024</v>
      </c>
      <c r="B334" s="46" t="s">
        <v>1411</v>
      </c>
      <c r="C334" s="46" t="s">
        <v>9005</v>
      </c>
      <c r="D334" s="44" t="s">
        <v>376</v>
      </c>
      <c r="E334" s="45" t="s">
        <v>1114</v>
      </c>
      <c r="F334" s="54">
        <v>159838.49</v>
      </c>
      <c r="G334" s="54">
        <v>115228.53</v>
      </c>
      <c r="H334" s="54">
        <v>0</v>
      </c>
      <c r="I334" s="54">
        <v>0</v>
      </c>
      <c r="J334" s="54">
        <v>0</v>
      </c>
      <c r="K334" s="54">
        <v>0</v>
      </c>
      <c r="L334" s="54">
        <v>0</v>
      </c>
      <c r="M334" s="43"/>
      <c r="N334" s="54">
        <v>0</v>
      </c>
      <c r="O334" s="54">
        <v>0</v>
      </c>
      <c r="P334" s="54">
        <v>0</v>
      </c>
      <c r="Q334" s="54">
        <v>275067.02</v>
      </c>
    </row>
    <row r="335" spans="1:17" ht="26.45">
      <c r="A335" s="44">
        <v>2024</v>
      </c>
      <c r="B335" s="46" t="s">
        <v>1411</v>
      </c>
      <c r="C335" s="46" t="s">
        <v>9005</v>
      </c>
      <c r="D335" s="44" t="s">
        <v>377</v>
      </c>
      <c r="E335" s="45" t="s">
        <v>1117</v>
      </c>
      <c r="F335" s="54">
        <v>60012.12</v>
      </c>
      <c r="G335" s="54">
        <v>2123.5</v>
      </c>
      <c r="H335" s="54">
        <v>0</v>
      </c>
      <c r="I335" s="54">
        <v>0</v>
      </c>
      <c r="J335" s="54">
        <v>0</v>
      </c>
      <c r="K335" s="54">
        <v>0</v>
      </c>
      <c r="L335" s="54">
        <v>0</v>
      </c>
      <c r="M335" s="43"/>
      <c r="N335" s="54">
        <v>0</v>
      </c>
      <c r="O335" s="54">
        <v>0</v>
      </c>
      <c r="P335" s="54">
        <v>0</v>
      </c>
      <c r="Q335" s="54">
        <v>62135.62</v>
      </c>
    </row>
    <row r="336" spans="1:17" ht="26.45">
      <c r="A336" s="47">
        <v>2024</v>
      </c>
      <c r="B336" s="50" t="s">
        <v>1411</v>
      </c>
      <c r="C336" s="50" t="s">
        <v>9005</v>
      </c>
      <c r="D336" s="47" t="s">
        <v>378</v>
      </c>
      <c r="E336" s="48" t="s">
        <v>1118</v>
      </c>
      <c r="F336" s="53">
        <v>68.33</v>
      </c>
      <c r="G336" s="53">
        <v>0</v>
      </c>
      <c r="H336" s="53">
        <v>0</v>
      </c>
      <c r="I336" s="53">
        <v>0</v>
      </c>
      <c r="J336" s="53">
        <v>0</v>
      </c>
      <c r="K336" s="53">
        <v>0</v>
      </c>
      <c r="L336" s="53">
        <v>-68.33</v>
      </c>
      <c r="M336" s="43"/>
      <c r="N336" s="53">
        <v>0</v>
      </c>
      <c r="O336" s="53">
        <v>0</v>
      </c>
      <c r="P336" s="53">
        <v>0</v>
      </c>
      <c r="Q336" s="53">
        <v>0</v>
      </c>
    </row>
    <row r="337" spans="1:17" ht="26.45">
      <c r="A337" s="44">
        <v>2024</v>
      </c>
      <c r="B337" s="46" t="s">
        <v>1411</v>
      </c>
      <c r="C337" s="46" t="s">
        <v>9005</v>
      </c>
      <c r="D337" s="44" t="s">
        <v>379</v>
      </c>
      <c r="E337" s="45" t="s">
        <v>1123</v>
      </c>
      <c r="F337" s="54">
        <v>1005.72</v>
      </c>
      <c r="G337" s="54">
        <v>1452.39</v>
      </c>
      <c r="H337" s="54">
        <v>0</v>
      </c>
      <c r="I337" s="54">
        <v>0</v>
      </c>
      <c r="J337" s="54">
        <v>0</v>
      </c>
      <c r="K337" s="54">
        <v>0</v>
      </c>
      <c r="L337" s="54">
        <v>0</v>
      </c>
      <c r="M337" s="43"/>
      <c r="N337" s="54">
        <v>0</v>
      </c>
      <c r="O337" s="54">
        <v>0</v>
      </c>
      <c r="P337" s="54">
        <v>0</v>
      </c>
      <c r="Q337" s="54">
        <v>2458.11</v>
      </c>
    </row>
    <row r="338" spans="1:17" ht="26.45">
      <c r="A338" s="47">
        <v>2024</v>
      </c>
      <c r="B338" s="50" t="s">
        <v>1411</v>
      </c>
      <c r="C338" s="50" t="s">
        <v>9005</v>
      </c>
      <c r="D338" s="47" t="s">
        <v>380</v>
      </c>
      <c r="E338" s="48" t="s">
        <v>1136</v>
      </c>
      <c r="F338" s="53">
        <v>6978.14</v>
      </c>
      <c r="G338" s="53">
        <v>0</v>
      </c>
      <c r="H338" s="53">
        <v>0</v>
      </c>
      <c r="I338" s="53">
        <v>0</v>
      </c>
      <c r="J338" s="53">
        <v>0</v>
      </c>
      <c r="K338" s="53">
        <v>0</v>
      </c>
      <c r="L338" s="53">
        <v>0</v>
      </c>
      <c r="M338" s="43"/>
      <c r="N338" s="53">
        <v>0</v>
      </c>
      <c r="O338" s="53">
        <v>0</v>
      </c>
      <c r="P338" s="53">
        <v>0</v>
      </c>
      <c r="Q338" s="53">
        <v>6978.14</v>
      </c>
    </row>
    <row r="339" spans="1:17" ht="26.45">
      <c r="A339" s="47">
        <v>2024</v>
      </c>
      <c r="B339" s="50" t="s">
        <v>1411</v>
      </c>
      <c r="C339" s="50" t="s">
        <v>9005</v>
      </c>
      <c r="D339" s="47" t="s">
        <v>381</v>
      </c>
      <c r="E339" s="48" t="s">
        <v>1139</v>
      </c>
      <c r="F339" s="53">
        <v>776.3</v>
      </c>
      <c r="G339" s="53">
        <v>0</v>
      </c>
      <c r="H339" s="53">
        <v>0</v>
      </c>
      <c r="I339" s="53">
        <v>0</v>
      </c>
      <c r="J339" s="53">
        <v>0</v>
      </c>
      <c r="K339" s="53">
        <v>0</v>
      </c>
      <c r="L339" s="53">
        <v>-776.3</v>
      </c>
      <c r="M339" s="43"/>
      <c r="N339" s="53">
        <v>0</v>
      </c>
      <c r="O339" s="53">
        <v>0</v>
      </c>
      <c r="P339" s="53">
        <v>0</v>
      </c>
      <c r="Q339" s="53">
        <v>0</v>
      </c>
    </row>
    <row r="340" spans="1:17" ht="26.45">
      <c r="A340" s="44">
        <v>2024</v>
      </c>
      <c r="B340" s="46" t="s">
        <v>1411</v>
      </c>
      <c r="C340" s="46" t="s">
        <v>9005</v>
      </c>
      <c r="D340" s="44" t="s">
        <v>382</v>
      </c>
      <c r="E340" s="45" t="s">
        <v>1140</v>
      </c>
      <c r="F340" s="54">
        <v>2174.63</v>
      </c>
      <c r="G340" s="54">
        <v>3108.16</v>
      </c>
      <c r="H340" s="54">
        <v>0</v>
      </c>
      <c r="I340" s="54">
        <v>0</v>
      </c>
      <c r="J340" s="54">
        <v>0</v>
      </c>
      <c r="K340" s="54">
        <v>0</v>
      </c>
      <c r="L340" s="54">
        <v>0</v>
      </c>
      <c r="M340" s="43"/>
      <c r="N340" s="54">
        <v>0</v>
      </c>
      <c r="O340" s="54">
        <v>0</v>
      </c>
      <c r="P340" s="54">
        <v>0</v>
      </c>
      <c r="Q340" s="54">
        <v>5282.79</v>
      </c>
    </row>
    <row r="341" spans="1:17" ht="26.45">
      <c r="A341" s="47">
        <v>2024</v>
      </c>
      <c r="B341" s="50" t="s">
        <v>1411</v>
      </c>
      <c r="C341" s="50" t="s">
        <v>9005</v>
      </c>
      <c r="D341" s="47" t="s">
        <v>383</v>
      </c>
      <c r="E341" s="48" t="s">
        <v>1141</v>
      </c>
      <c r="F341" s="53">
        <v>10231.450000000001</v>
      </c>
      <c r="G341" s="53">
        <v>0</v>
      </c>
      <c r="H341" s="53">
        <v>0</v>
      </c>
      <c r="I341" s="53">
        <v>0</v>
      </c>
      <c r="J341" s="53">
        <v>0</v>
      </c>
      <c r="K341" s="53">
        <v>0</v>
      </c>
      <c r="L341" s="53">
        <v>0</v>
      </c>
      <c r="M341" s="43"/>
      <c r="N341" s="53">
        <v>0</v>
      </c>
      <c r="O341" s="53">
        <v>0</v>
      </c>
      <c r="P341" s="53">
        <v>0</v>
      </c>
      <c r="Q341" s="53">
        <v>10231.450000000001</v>
      </c>
    </row>
    <row r="342" spans="1:17" ht="26.45">
      <c r="A342" s="44">
        <v>2024</v>
      </c>
      <c r="B342" s="46" t="s">
        <v>1411</v>
      </c>
      <c r="C342" s="46" t="s">
        <v>9005</v>
      </c>
      <c r="D342" s="44" t="s">
        <v>384</v>
      </c>
      <c r="E342" s="45" t="s">
        <v>1142</v>
      </c>
      <c r="F342" s="54">
        <v>1355.96</v>
      </c>
      <c r="G342" s="54">
        <v>1896.65</v>
      </c>
      <c r="H342" s="54">
        <v>0</v>
      </c>
      <c r="I342" s="54">
        <v>0</v>
      </c>
      <c r="J342" s="54">
        <v>0</v>
      </c>
      <c r="K342" s="54">
        <v>0</v>
      </c>
      <c r="L342" s="54">
        <v>0</v>
      </c>
      <c r="M342" s="43"/>
      <c r="N342" s="54">
        <v>0</v>
      </c>
      <c r="O342" s="54">
        <v>0</v>
      </c>
      <c r="P342" s="54">
        <v>0</v>
      </c>
      <c r="Q342" s="54">
        <v>3252.61</v>
      </c>
    </row>
    <row r="343" spans="1:17" ht="26.45">
      <c r="A343" s="47">
        <v>2024</v>
      </c>
      <c r="B343" s="50" t="s">
        <v>1411</v>
      </c>
      <c r="C343" s="50" t="s">
        <v>9005</v>
      </c>
      <c r="D343" s="47" t="s">
        <v>385</v>
      </c>
      <c r="E343" s="48" t="s">
        <v>1143</v>
      </c>
      <c r="F343" s="53">
        <v>1988.03</v>
      </c>
      <c r="G343" s="53">
        <v>0</v>
      </c>
      <c r="H343" s="53">
        <v>0</v>
      </c>
      <c r="I343" s="53">
        <v>0</v>
      </c>
      <c r="J343" s="53">
        <v>0</v>
      </c>
      <c r="K343" s="53">
        <v>0</v>
      </c>
      <c r="L343" s="53">
        <v>-1988.03</v>
      </c>
      <c r="M343" s="43"/>
      <c r="N343" s="53">
        <v>0</v>
      </c>
      <c r="O343" s="53">
        <v>0</v>
      </c>
      <c r="P343" s="53">
        <v>0</v>
      </c>
      <c r="Q343" s="53">
        <v>0</v>
      </c>
    </row>
    <row r="344" spans="1:17" ht="26.45">
      <c r="A344" s="44">
        <v>2024</v>
      </c>
      <c r="B344" s="46" t="s">
        <v>1411</v>
      </c>
      <c r="C344" s="46" t="s">
        <v>9005</v>
      </c>
      <c r="D344" s="44" t="s">
        <v>386</v>
      </c>
      <c r="E344" s="45" t="s">
        <v>1144</v>
      </c>
      <c r="F344" s="54">
        <v>310.04000000000002</v>
      </c>
      <c r="G344" s="54">
        <v>0</v>
      </c>
      <c r="H344" s="54">
        <v>0</v>
      </c>
      <c r="I344" s="54">
        <v>0</v>
      </c>
      <c r="J344" s="54">
        <v>0</v>
      </c>
      <c r="K344" s="54">
        <v>0</v>
      </c>
      <c r="L344" s="54">
        <v>-310.04000000000002</v>
      </c>
      <c r="M344" s="43"/>
      <c r="N344" s="54">
        <v>0</v>
      </c>
      <c r="O344" s="54">
        <v>0</v>
      </c>
      <c r="P344" s="54">
        <v>0</v>
      </c>
      <c r="Q344" s="54">
        <v>0</v>
      </c>
    </row>
    <row r="345" spans="1:17" ht="52.9">
      <c r="A345" s="44">
        <v>2024</v>
      </c>
      <c r="B345" s="46" t="s">
        <v>1411</v>
      </c>
      <c r="C345" s="46" t="s">
        <v>9005</v>
      </c>
      <c r="D345" s="44" t="s">
        <v>387</v>
      </c>
      <c r="E345" s="45" t="s">
        <v>1146</v>
      </c>
      <c r="F345" s="54">
        <v>4652.05</v>
      </c>
      <c r="G345" s="54">
        <v>0</v>
      </c>
      <c r="H345" s="54">
        <v>0</v>
      </c>
      <c r="I345" s="54">
        <v>0</v>
      </c>
      <c r="J345" s="54">
        <v>0</v>
      </c>
      <c r="K345" s="54">
        <v>0</v>
      </c>
      <c r="L345" s="54">
        <v>-4652.05</v>
      </c>
      <c r="M345" s="43"/>
      <c r="N345" s="54">
        <v>0</v>
      </c>
      <c r="O345" s="54">
        <v>0</v>
      </c>
      <c r="P345" s="54">
        <v>0</v>
      </c>
      <c r="Q345" s="54">
        <v>0</v>
      </c>
    </row>
    <row r="346" spans="1:17" ht="26.45">
      <c r="A346" s="47">
        <v>2024</v>
      </c>
      <c r="B346" s="50" t="s">
        <v>1411</v>
      </c>
      <c r="C346" s="50" t="s">
        <v>9005</v>
      </c>
      <c r="D346" s="47" t="s">
        <v>388</v>
      </c>
      <c r="E346" s="48" t="s">
        <v>1151</v>
      </c>
      <c r="F346" s="53">
        <v>15321.95</v>
      </c>
      <c r="G346" s="53">
        <v>6573.16</v>
      </c>
      <c r="H346" s="53">
        <v>0</v>
      </c>
      <c r="I346" s="53">
        <v>0</v>
      </c>
      <c r="J346" s="53">
        <v>0</v>
      </c>
      <c r="K346" s="53">
        <v>0</v>
      </c>
      <c r="L346" s="53">
        <v>0</v>
      </c>
      <c r="M346" s="43"/>
      <c r="N346" s="53">
        <v>0</v>
      </c>
      <c r="O346" s="53">
        <v>0</v>
      </c>
      <c r="P346" s="53">
        <v>0</v>
      </c>
      <c r="Q346" s="53">
        <v>21895.11</v>
      </c>
    </row>
    <row r="347" spans="1:17" ht="26.45">
      <c r="A347" s="44">
        <v>2024</v>
      </c>
      <c r="B347" s="46" t="s">
        <v>1411</v>
      </c>
      <c r="C347" s="46" t="s">
        <v>9005</v>
      </c>
      <c r="D347" s="44" t="s">
        <v>389</v>
      </c>
      <c r="E347" s="45" t="s">
        <v>1152</v>
      </c>
      <c r="F347" s="54">
        <v>600.44000000000005</v>
      </c>
      <c r="G347" s="54">
        <v>0</v>
      </c>
      <c r="H347" s="54">
        <v>0</v>
      </c>
      <c r="I347" s="54">
        <v>0</v>
      </c>
      <c r="J347" s="54">
        <v>0</v>
      </c>
      <c r="K347" s="54">
        <v>0</v>
      </c>
      <c r="L347" s="54">
        <v>0</v>
      </c>
      <c r="M347" s="43"/>
      <c r="N347" s="54">
        <v>0</v>
      </c>
      <c r="O347" s="54">
        <v>0</v>
      </c>
      <c r="P347" s="54">
        <v>0</v>
      </c>
      <c r="Q347" s="54">
        <v>600.44000000000005</v>
      </c>
    </row>
    <row r="348" spans="1:17" ht="26.45">
      <c r="A348" s="47">
        <v>2024</v>
      </c>
      <c r="B348" s="50" t="s">
        <v>1411</v>
      </c>
      <c r="C348" s="50" t="s">
        <v>9005</v>
      </c>
      <c r="D348" s="47" t="s">
        <v>390</v>
      </c>
      <c r="E348" s="48" t="s">
        <v>1153</v>
      </c>
      <c r="F348" s="53">
        <v>458.05</v>
      </c>
      <c r="G348" s="53">
        <v>0</v>
      </c>
      <c r="H348" s="53">
        <v>0</v>
      </c>
      <c r="I348" s="53">
        <v>0</v>
      </c>
      <c r="J348" s="53">
        <v>0</v>
      </c>
      <c r="K348" s="53">
        <v>0</v>
      </c>
      <c r="L348" s="53">
        <v>-458.05</v>
      </c>
      <c r="M348" s="43"/>
      <c r="N348" s="53">
        <v>0</v>
      </c>
      <c r="O348" s="53">
        <v>0</v>
      </c>
      <c r="P348" s="53">
        <v>0</v>
      </c>
      <c r="Q348" s="53">
        <v>0</v>
      </c>
    </row>
    <row r="349" spans="1:17" ht="26.45">
      <c r="A349" s="44">
        <v>2024</v>
      </c>
      <c r="B349" s="46" t="s">
        <v>1411</v>
      </c>
      <c r="C349" s="46" t="s">
        <v>9005</v>
      </c>
      <c r="D349" s="44" t="s">
        <v>391</v>
      </c>
      <c r="E349" s="45" t="s">
        <v>1154</v>
      </c>
      <c r="F349" s="54">
        <v>804.41</v>
      </c>
      <c r="G349" s="54">
        <v>759.65</v>
      </c>
      <c r="H349" s="54">
        <v>0</v>
      </c>
      <c r="I349" s="54">
        <v>0</v>
      </c>
      <c r="J349" s="54">
        <v>0</v>
      </c>
      <c r="K349" s="54">
        <v>0</v>
      </c>
      <c r="L349" s="54">
        <v>0</v>
      </c>
      <c r="M349" s="43"/>
      <c r="N349" s="54">
        <v>0</v>
      </c>
      <c r="O349" s="54">
        <v>0</v>
      </c>
      <c r="P349" s="54">
        <v>0</v>
      </c>
      <c r="Q349" s="54">
        <v>1564.06</v>
      </c>
    </row>
    <row r="350" spans="1:17" ht="26.45">
      <c r="A350" s="47">
        <v>2024</v>
      </c>
      <c r="B350" s="50" t="s">
        <v>1411</v>
      </c>
      <c r="C350" s="50" t="s">
        <v>9005</v>
      </c>
      <c r="D350" s="47" t="s">
        <v>392</v>
      </c>
      <c r="E350" s="48" t="s">
        <v>1155</v>
      </c>
      <c r="F350" s="53">
        <v>16535.240000000002</v>
      </c>
      <c r="G350" s="53">
        <v>2949.85</v>
      </c>
      <c r="H350" s="53">
        <v>0</v>
      </c>
      <c r="I350" s="53">
        <v>0</v>
      </c>
      <c r="J350" s="53">
        <v>0</v>
      </c>
      <c r="K350" s="53">
        <v>0</v>
      </c>
      <c r="L350" s="53">
        <v>0</v>
      </c>
      <c r="M350" s="43"/>
      <c r="N350" s="53">
        <v>0</v>
      </c>
      <c r="O350" s="53">
        <v>0</v>
      </c>
      <c r="P350" s="53">
        <v>0</v>
      </c>
      <c r="Q350" s="53">
        <v>19485.09</v>
      </c>
    </row>
    <row r="351" spans="1:17" ht="26.45">
      <c r="A351" s="44">
        <v>2024</v>
      </c>
      <c r="B351" s="46" t="s">
        <v>1411</v>
      </c>
      <c r="C351" s="46" t="s">
        <v>9005</v>
      </c>
      <c r="D351" s="44" t="s">
        <v>393</v>
      </c>
      <c r="E351" s="45" t="s">
        <v>1156</v>
      </c>
      <c r="F351" s="54">
        <v>1662.01</v>
      </c>
      <c r="G351" s="54">
        <v>1601.31</v>
      </c>
      <c r="H351" s="54">
        <v>0</v>
      </c>
      <c r="I351" s="54">
        <v>0</v>
      </c>
      <c r="J351" s="54">
        <v>0</v>
      </c>
      <c r="K351" s="54">
        <v>0</v>
      </c>
      <c r="L351" s="54">
        <v>0</v>
      </c>
      <c r="M351" s="43"/>
      <c r="N351" s="54">
        <v>0</v>
      </c>
      <c r="O351" s="54">
        <v>0</v>
      </c>
      <c r="P351" s="54">
        <v>0</v>
      </c>
      <c r="Q351" s="54">
        <v>3263.32</v>
      </c>
    </row>
    <row r="352" spans="1:17" ht="26.45">
      <c r="A352" s="47">
        <v>2024</v>
      </c>
      <c r="B352" s="50" t="s">
        <v>1411</v>
      </c>
      <c r="C352" s="50" t="s">
        <v>9005</v>
      </c>
      <c r="D352" s="47" t="s">
        <v>394</v>
      </c>
      <c r="E352" s="48" t="s">
        <v>1157</v>
      </c>
      <c r="F352" s="53">
        <v>6300.79</v>
      </c>
      <c r="G352" s="53">
        <v>6143.18</v>
      </c>
      <c r="H352" s="53">
        <v>0</v>
      </c>
      <c r="I352" s="53">
        <v>0</v>
      </c>
      <c r="J352" s="53">
        <v>0</v>
      </c>
      <c r="K352" s="53">
        <v>0</v>
      </c>
      <c r="L352" s="53">
        <v>0</v>
      </c>
      <c r="M352" s="43"/>
      <c r="N352" s="53">
        <v>0</v>
      </c>
      <c r="O352" s="53">
        <v>0</v>
      </c>
      <c r="P352" s="53">
        <v>0</v>
      </c>
      <c r="Q352" s="53">
        <v>12443.97</v>
      </c>
    </row>
    <row r="353" spans="1:17" ht="26.45">
      <c r="A353" s="44">
        <v>2024</v>
      </c>
      <c r="B353" s="46" t="s">
        <v>1411</v>
      </c>
      <c r="C353" s="46" t="s">
        <v>9005</v>
      </c>
      <c r="D353" s="44" t="s">
        <v>395</v>
      </c>
      <c r="E353" s="45" t="s">
        <v>1158</v>
      </c>
      <c r="F353" s="54">
        <v>1184.05</v>
      </c>
      <c r="G353" s="54">
        <v>561.28</v>
      </c>
      <c r="H353" s="54">
        <v>0</v>
      </c>
      <c r="I353" s="54">
        <v>0</v>
      </c>
      <c r="J353" s="54">
        <v>0</v>
      </c>
      <c r="K353" s="54">
        <v>0</v>
      </c>
      <c r="L353" s="54">
        <v>0</v>
      </c>
      <c r="M353" s="43"/>
      <c r="N353" s="54">
        <v>0</v>
      </c>
      <c r="O353" s="54">
        <v>0</v>
      </c>
      <c r="P353" s="54">
        <v>0</v>
      </c>
      <c r="Q353" s="54">
        <v>1745.33</v>
      </c>
    </row>
    <row r="354" spans="1:17" ht="39.6">
      <c r="A354" s="47">
        <v>2024</v>
      </c>
      <c r="B354" s="50" t="s">
        <v>1411</v>
      </c>
      <c r="C354" s="50" t="s">
        <v>9005</v>
      </c>
      <c r="D354" s="47" t="s">
        <v>396</v>
      </c>
      <c r="E354" s="48" t="s">
        <v>1159</v>
      </c>
      <c r="F354" s="53">
        <v>531.5</v>
      </c>
      <c r="G354" s="53">
        <v>0</v>
      </c>
      <c r="H354" s="53">
        <v>0</v>
      </c>
      <c r="I354" s="53">
        <v>0</v>
      </c>
      <c r="J354" s="53">
        <v>0</v>
      </c>
      <c r="K354" s="53">
        <v>0</v>
      </c>
      <c r="L354" s="53">
        <v>-531.5</v>
      </c>
      <c r="M354" s="43"/>
      <c r="N354" s="53">
        <v>0</v>
      </c>
      <c r="O354" s="53">
        <v>0</v>
      </c>
      <c r="P354" s="53">
        <v>0</v>
      </c>
      <c r="Q354" s="53">
        <v>0</v>
      </c>
    </row>
    <row r="355" spans="1:17" ht="39.6">
      <c r="A355" s="44">
        <v>2024</v>
      </c>
      <c r="B355" s="46" t="s">
        <v>1411</v>
      </c>
      <c r="C355" s="46" t="s">
        <v>9005</v>
      </c>
      <c r="D355" s="44" t="s">
        <v>397</v>
      </c>
      <c r="E355" s="45" t="s">
        <v>1160</v>
      </c>
      <c r="F355" s="54">
        <v>971.39</v>
      </c>
      <c r="G355" s="54">
        <v>0</v>
      </c>
      <c r="H355" s="54">
        <v>0</v>
      </c>
      <c r="I355" s="54">
        <v>0</v>
      </c>
      <c r="J355" s="54">
        <v>0</v>
      </c>
      <c r="K355" s="54">
        <v>0</v>
      </c>
      <c r="L355" s="54">
        <v>-971.39</v>
      </c>
      <c r="M355" s="43"/>
      <c r="N355" s="54">
        <v>0</v>
      </c>
      <c r="O355" s="54">
        <v>0</v>
      </c>
      <c r="P355" s="54">
        <v>0</v>
      </c>
      <c r="Q355" s="54">
        <v>0</v>
      </c>
    </row>
    <row r="356" spans="1:17" ht="26.45">
      <c r="A356" s="47">
        <v>2024</v>
      </c>
      <c r="B356" s="50" t="s">
        <v>1411</v>
      </c>
      <c r="C356" s="50" t="s">
        <v>9005</v>
      </c>
      <c r="D356" s="47" t="s">
        <v>398</v>
      </c>
      <c r="E356" s="48" t="s">
        <v>1161</v>
      </c>
      <c r="F356" s="53">
        <v>536.61</v>
      </c>
      <c r="G356" s="53">
        <v>0</v>
      </c>
      <c r="H356" s="53">
        <v>0</v>
      </c>
      <c r="I356" s="53">
        <v>0</v>
      </c>
      <c r="J356" s="53">
        <v>0</v>
      </c>
      <c r="K356" s="53">
        <v>0</v>
      </c>
      <c r="L356" s="53">
        <v>-536.61</v>
      </c>
      <c r="M356" s="43"/>
      <c r="N356" s="53">
        <v>0</v>
      </c>
      <c r="O356" s="53">
        <v>0</v>
      </c>
      <c r="P356" s="53">
        <v>0</v>
      </c>
      <c r="Q356" s="53">
        <v>0</v>
      </c>
    </row>
    <row r="357" spans="1:17" ht="26.45">
      <c r="A357" s="44">
        <v>2024</v>
      </c>
      <c r="B357" s="46" t="s">
        <v>1411</v>
      </c>
      <c r="C357" s="46" t="s">
        <v>9005</v>
      </c>
      <c r="D357" s="44" t="s">
        <v>399</v>
      </c>
      <c r="E357" s="45" t="s">
        <v>1162</v>
      </c>
      <c r="F357" s="54">
        <v>1011.28</v>
      </c>
      <c r="G357" s="54">
        <v>0</v>
      </c>
      <c r="H357" s="54">
        <v>0</v>
      </c>
      <c r="I357" s="54">
        <v>0</v>
      </c>
      <c r="J357" s="54">
        <v>0</v>
      </c>
      <c r="K357" s="54">
        <v>0</v>
      </c>
      <c r="L357" s="54">
        <v>0</v>
      </c>
      <c r="M357" s="43"/>
      <c r="N357" s="54">
        <v>0</v>
      </c>
      <c r="O357" s="54">
        <v>0</v>
      </c>
      <c r="P357" s="54">
        <v>0</v>
      </c>
      <c r="Q357" s="54">
        <v>1011.28</v>
      </c>
    </row>
    <row r="358" spans="1:17" ht="26.45">
      <c r="A358" s="47">
        <v>2024</v>
      </c>
      <c r="B358" s="50" t="s">
        <v>1411</v>
      </c>
      <c r="C358" s="50" t="s">
        <v>9005</v>
      </c>
      <c r="D358" s="47" t="s">
        <v>400</v>
      </c>
      <c r="E358" s="48" t="s">
        <v>1163</v>
      </c>
      <c r="F358" s="53">
        <v>2339.5700000000002</v>
      </c>
      <c r="G358" s="53">
        <v>42.89</v>
      </c>
      <c r="H358" s="53">
        <v>0</v>
      </c>
      <c r="I358" s="53">
        <v>0</v>
      </c>
      <c r="J358" s="53">
        <v>0</v>
      </c>
      <c r="K358" s="53">
        <v>0</v>
      </c>
      <c r="L358" s="53">
        <v>0</v>
      </c>
      <c r="M358" s="43"/>
      <c r="N358" s="53">
        <v>0</v>
      </c>
      <c r="O358" s="53">
        <v>0</v>
      </c>
      <c r="P358" s="53">
        <v>0</v>
      </c>
      <c r="Q358" s="53">
        <v>2382.46</v>
      </c>
    </row>
    <row r="359" spans="1:17" ht="26.45">
      <c r="A359" s="44">
        <v>2024</v>
      </c>
      <c r="B359" s="46" t="s">
        <v>1411</v>
      </c>
      <c r="C359" s="46" t="s">
        <v>9005</v>
      </c>
      <c r="D359" s="44" t="s">
        <v>401</v>
      </c>
      <c r="E359" s="45" t="s">
        <v>1164</v>
      </c>
      <c r="F359" s="54">
        <v>37796.06</v>
      </c>
      <c r="G359" s="54">
        <v>20179.78</v>
      </c>
      <c r="H359" s="54">
        <v>0</v>
      </c>
      <c r="I359" s="54">
        <v>0</v>
      </c>
      <c r="J359" s="54">
        <v>0</v>
      </c>
      <c r="K359" s="54">
        <v>0</v>
      </c>
      <c r="L359" s="54">
        <v>0</v>
      </c>
      <c r="M359" s="43"/>
      <c r="N359" s="54">
        <v>0</v>
      </c>
      <c r="O359" s="54">
        <v>0</v>
      </c>
      <c r="P359" s="54">
        <v>0</v>
      </c>
      <c r="Q359" s="54">
        <v>57975.839999999997</v>
      </c>
    </row>
    <row r="360" spans="1:17" ht="26.45">
      <c r="A360" s="47">
        <v>2024</v>
      </c>
      <c r="B360" s="50" t="s">
        <v>1411</v>
      </c>
      <c r="C360" s="50" t="s">
        <v>9005</v>
      </c>
      <c r="D360" s="47" t="s">
        <v>402</v>
      </c>
      <c r="E360" s="48" t="s">
        <v>1165</v>
      </c>
      <c r="F360" s="53">
        <v>427.41</v>
      </c>
      <c r="G360" s="53">
        <v>476.68</v>
      </c>
      <c r="H360" s="53">
        <v>0</v>
      </c>
      <c r="I360" s="53">
        <v>0</v>
      </c>
      <c r="J360" s="53">
        <v>0</v>
      </c>
      <c r="K360" s="53">
        <v>0</v>
      </c>
      <c r="L360" s="53">
        <v>-904.09</v>
      </c>
      <c r="M360" s="43"/>
      <c r="N360" s="53">
        <v>0</v>
      </c>
      <c r="O360" s="53">
        <v>0</v>
      </c>
      <c r="P360" s="53">
        <v>0</v>
      </c>
      <c r="Q360" s="53">
        <v>0</v>
      </c>
    </row>
    <row r="361" spans="1:17" ht="39.6">
      <c r="A361" s="44">
        <v>2024</v>
      </c>
      <c r="B361" s="46" t="s">
        <v>1411</v>
      </c>
      <c r="C361" s="46" t="s">
        <v>9005</v>
      </c>
      <c r="D361" s="44" t="s">
        <v>403</v>
      </c>
      <c r="E361" s="45" t="s">
        <v>1166</v>
      </c>
      <c r="F361" s="54">
        <v>1088.21</v>
      </c>
      <c r="G361" s="54">
        <v>1449.87</v>
      </c>
      <c r="H361" s="54">
        <v>0</v>
      </c>
      <c r="I361" s="54">
        <v>0</v>
      </c>
      <c r="J361" s="54">
        <v>0</v>
      </c>
      <c r="K361" s="54">
        <v>0</v>
      </c>
      <c r="L361" s="54">
        <v>0</v>
      </c>
      <c r="M361" s="43"/>
      <c r="N361" s="54">
        <v>0</v>
      </c>
      <c r="O361" s="54">
        <v>0</v>
      </c>
      <c r="P361" s="54">
        <v>0</v>
      </c>
      <c r="Q361" s="54">
        <v>2538.08</v>
      </c>
    </row>
    <row r="362" spans="1:17" ht="26.45">
      <c r="A362" s="47">
        <v>2024</v>
      </c>
      <c r="B362" s="50" t="s">
        <v>1411</v>
      </c>
      <c r="C362" s="50" t="s">
        <v>9005</v>
      </c>
      <c r="D362" s="47" t="s">
        <v>404</v>
      </c>
      <c r="E362" s="48" t="s">
        <v>1167</v>
      </c>
      <c r="F362" s="53">
        <v>14003.26</v>
      </c>
      <c r="G362" s="53">
        <v>11195.38</v>
      </c>
      <c r="H362" s="53">
        <v>0</v>
      </c>
      <c r="I362" s="53">
        <v>0</v>
      </c>
      <c r="J362" s="53">
        <v>0</v>
      </c>
      <c r="K362" s="53">
        <v>0</v>
      </c>
      <c r="L362" s="53">
        <v>0</v>
      </c>
      <c r="M362" s="43"/>
      <c r="N362" s="53">
        <v>0</v>
      </c>
      <c r="O362" s="53">
        <v>0</v>
      </c>
      <c r="P362" s="53">
        <v>0</v>
      </c>
      <c r="Q362" s="53">
        <v>25198.639999999999</v>
      </c>
    </row>
    <row r="363" spans="1:17" ht="26.45">
      <c r="A363" s="44">
        <v>2024</v>
      </c>
      <c r="B363" s="46" t="s">
        <v>1411</v>
      </c>
      <c r="C363" s="46" t="s">
        <v>9005</v>
      </c>
      <c r="D363" s="44" t="s">
        <v>405</v>
      </c>
      <c r="E363" s="45" t="s">
        <v>1168</v>
      </c>
      <c r="F363" s="54">
        <v>8794.2800000000007</v>
      </c>
      <c r="G363" s="54">
        <v>15254.11</v>
      </c>
      <c r="H363" s="54">
        <v>0</v>
      </c>
      <c r="I363" s="54">
        <v>0</v>
      </c>
      <c r="J363" s="54">
        <v>0</v>
      </c>
      <c r="K363" s="54">
        <v>0</v>
      </c>
      <c r="L363" s="54">
        <v>0</v>
      </c>
      <c r="M363" s="43"/>
      <c r="N363" s="54">
        <v>0</v>
      </c>
      <c r="O363" s="54">
        <v>-1692.19</v>
      </c>
      <c r="P363" s="54">
        <v>0</v>
      </c>
      <c r="Q363" s="54">
        <v>22356.2</v>
      </c>
    </row>
    <row r="364" spans="1:17" ht="26.45">
      <c r="A364" s="47">
        <v>2024</v>
      </c>
      <c r="B364" s="50" t="s">
        <v>1411</v>
      </c>
      <c r="C364" s="50" t="s">
        <v>9005</v>
      </c>
      <c r="D364" s="47" t="s">
        <v>406</v>
      </c>
      <c r="E364" s="48" t="s">
        <v>1169</v>
      </c>
      <c r="F364" s="53">
        <v>5687.11</v>
      </c>
      <c r="G364" s="53">
        <v>6802.59</v>
      </c>
      <c r="H364" s="53">
        <v>0</v>
      </c>
      <c r="I364" s="53">
        <v>0</v>
      </c>
      <c r="J364" s="53">
        <v>0</v>
      </c>
      <c r="K364" s="53">
        <v>0</v>
      </c>
      <c r="L364" s="53">
        <v>0</v>
      </c>
      <c r="M364" s="43"/>
      <c r="N364" s="53">
        <v>0</v>
      </c>
      <c r="O364" s="53">
        <v>0</v>
      </c>
      <c r="P364" s="53">
        <v>0</v>
      </c>
      <c r="Q364" s="53">
        <v>12489.7</v>
      </c>
    </row>
    <row r="365" spans="1:17" ht="26.45">
      <c r="A365" s="44">
        <v>2024</v>
      </c>
      <c r="B365" s="46" t="s">
        <v>1411</v>
      </c>
      <c r="C365" s="46" t="s">
        <v>9005</v>
      </c>
      <c r="D365" s="44" t="s">
        <v>407</v>
      </c>
      <c r="E365" s="45" t="s">
        <v>1170</v>
      </c>
      <c r="F365" s="54">
        <v>20848.64</v>
      </c>
      <c r="G365" s="54">
        <v>0</v>
      </c>
      <c r="H365" s="54">
        <v>0</v>
      </c>
      <c r="I365" s="54">
        <v>0</v>
      </c>
      <c r="J365" s="54">
        <v>0</v>
      </c>
      <c r="K365" s="54">
        <v>0</v>
      </c>
      <c r="L365" s="54">
        <v>0</v>
      </c>
      <c r="M365" s="43"/>
      <c r="N365" s="54">
        <v>0</v>
      </c>
      <c r="O365" s="54">
        <v>0</v>
      </c>
      <c r="P365" s="54">
        <v>0</v>
      </c>
      <c r="Q365" s="54">
        <v>20848.64</v>
      </c>
    </row>
    <row r="366" spans="1:17" ht="26.45">
      <c r="A366" s="47">
        <v>2024</v>
      </c>
      <c r="B366" s="50" t="s">
        <v>1411</v>
      </c>
      <c r="C366" s="50" t="s">
        <v>9005</v>
      </c>
      <c r="D366" s="47" t="s">
        <v>408</v>
      </c>
      <c r="E366" s="48" t="s">
        <v>1171</v>
      </c>
      <c r="F366" s="53">
        <v>488.89</v>
      </c>
      <c r="G366" s="53">
        <v>0</v>
      </c>
      <c r="H366" s="53">
        <v>0</v>
      </c>
      <c r="I366" s="53">
        <v>0</v>
      </c>
      <c r="J366" s="53">
        <v>0</v>
      </c>
      <c r="K366" s="53">
        <v>0</v>
      </c>
      <c r="L366" s="53">
        <v>0</v>
      </c>
      <c r="M366" s="43"/>
      <c r="N366" s="53">
        <v>0</v>
      </c>
      <c r="O366" s="53">
        <v>0</v>
      </c>
      <c r="P366" s="53">
        <v>0</v>
      </c>
      <c r="Q366" s="53">
        <v>488.89</v>
      </c>
    </row>
    <row r="367" spans="1:17" ht="26.45">
      <c r="A367" s="44">
        <v>2024</v>
      </c>
      <c r="B367" s="46" t="s">
        <v>1411</v>
      </c>
      <c r="C367" s="46" t="s">
        <v>9005</v>
      </c>
      <c r="D367" s="44" t="s">
        <v>409</v>
      </c>
      <c r="E367" s="45" t="s">
        <v>1172</v>
      </c>
      <c r="F367" s="54">
        <v>14640.39</v>
      </c>
      <c r="G367" s="54">
        <v>0</v>
      </c>
      <c r="H367" s="54">
        <v>0</v>
      </c>
      <c r="I367" s="54">
        <v>0</v>
      </c>
      <c r="J367" s="54">
        <v>0</v>
      </c>
      <c r="K367" s="54">
        <v>0</v>
      </c>
      <c r="L367" s="54">
        <v>0</v>
      </c>
      <c r="M367" s="43"/>
      <c r="N367" s="54">
        <v>0</v>
      </c>
      <c r="O367" s="54">
        <v>0</v>
      </c>
      <c r="P367" s="54">
        <v>0</v>
      </c>
      <c r="Q367" s="54">
        <v>14640.39</v>
      </c>
    </row>
    <row r="368" spans="1:17" ht="26.45">
      <c r="A368" s="47">
        <v>2024</v>
      </c>
      <c r="B368" s="50" t="s">
        <v>1411</v>
      </c>
      <c r="C368" s="50" t="s">
        <v>9005</v>
      </c>
      <c r="D368" s="47" t="s">
        <v>410</v>
      </c>
      <c r="E368" s="48" t="s">
        <v>1173</v>
      </c>
      <c r="F368" s="53">
        <v>3552.33</v>
      </c>
      <c r="G368" s="53">
        <v>5557.95</v>
      </c>
      <c r="H368" s="53">
        <v>0</v>
      </c>
      <c r="I368" s="53">
        <v>0</v>
      </c>
      <c r="J368" s="53">
        <v>0</v>
      </c>
      <c r="K368" s="53">
        <v>0</v>
      </c>
      <c r="L368" s="53">
        <v>0</v>
      </c>
      <c r="M368" s="43"/>
      <c r="N368" s="53">
        <v>0</v>
      </c>
      <c r="O368" s="53">
        <v>-1428.63</v>
      </c>
      <c r="P368" s="53">
        <v>0</v>
      </c>
      <c r="Q368" s="53">
        <v>7681.65</v>
      </c>
    </row>
    <row r="369" spans="1:17" ht="26.45">
      <c r="A369" s="47">
        <v>2024</v>
      </c>
      <c r="B369" s="50" t="s">
        <v>1411</v>
      </c>
      <c r="C369" s="50" t="s">
        <v>9005</v>
      </c>
      <c r="D369" s="47" t="s">
        <v>411</v>
      </c>
      <c r="E369" s="48" t="s">
        <v>1176</v>
      </c>
      <c r="F369" s="53">
        <v>12269.47</v>
      </c>
      <c r="G369" s="53">
        <v>12053.46</v>
      </c>
      <c r="H369" s="53">
        <v>0</v>
      </c>
      <c r="I369" s="53">
        <v>0</v>
      </c>
      <c r="J369" s="53">
        <v>0</v>
      </c>
      <c r="K369" s="53">
        <v>0</v>
      </c>
      <c r="L369" s="53">
        <v>0</v>
      </c>
      <c r="M369" s="43"/>
      <c r="N369" s="53">
        <v>0</v>
      </c>
      <c r="O369" s="53">
        <v>0</v>
      </c>
      <c r="P369" s="53">
        <v>0</v>
      </c>
      <c r="Q369" s="53">
        <v>24322.93</v>
      </c>
    </row>
    <row r="370" spans="1:17" ht="26.45">
      <c r="A370" s="44">
        <v>2024</v>
      </c>
      <c r="B370" s="46" t="s">
        <v>1411</v>
      </c>
      <c r="C370" s="46" t="s">
        <v>9005</v>
      </c>
      <c r="D370" s="44" t="s">
        <v>412</v>
      </c>
      <c r="E370" s="45" t="s">
        <v>1177</v>
      </c>
      <c r="F370" s="54">
        <v>11.93</v>
      </c>
      <c r="G370" s="54">
        <v>8.83</v>
      </c>
      <c r="H370" s="54">
        <v>0</v>
      </c>
      <c r="I370" s="54">
        <v>0</v>
      </c>
      <c r="J370" s="54">
        <v>0</v>
      </c>
      <c r="K370" s="54">
        <v>0</v>
      </c>
      <c r="L370" s="54">
        <v>0</v>
      </c>
      <c r="M370" s="43"/>
      <c r="N370" s="54">
        <v>0</v>
      </c>
      <c r="O370" s="54">
        <v>0</v>
      </c>
      <c r="P370" s="54">
        <v>0</v>
      </c>
      <c r="Q370" s="54">
        <v>20.76</v>
      </c>
    </row>
    <row r="371" spans="1:17" ht="26.45">
      <c r="A371" s="47">
        <v>2024</v>
      </c>
      <c r="B371" s="50" t="s">
        <v>1411</v>
      </c>
      <c r="C371" s="50" t="s">
        <v>9005</v>
      </c>
      <c r="D371" s="47" t="s">
        <v>413</v>
      </c>
      <c r="E371" s="48" t="s">
        <v>1178</v>
      </c>
      <c r="F371" s="53">
        <v>394.46</v>
      </c>
      <c r="G371" s="53">
        <v>0</v>
      </c>
      <c r="H371" s="53">
        <v>0</v>
      </c>
      <c r="I371" s="53">
        <v>0</v>
      </c>
      <c r="J371" s="53">
        <v>0</v>
      </c>
      <c r="K371" s="53">
        <v>0</v>
      </c>
      <c r="L371" s="53">
        <v>-394.46</v>
      </c>
      <c r="M371" s="43"/>
      <c r="N371" s="53">
        <v>0</v>
      </c>
      <c r="O371" s="53">
        <v>0</v>
      </c>
      <c r="P371" s="53">
        <v>0</v>
      </c>
      <c r="Q371" s="53">
        <v>0</v>
      </c>
    </row>
    <row r="372" spans="1:17" ht="26.45">
      <c r="A372" s="44">
        <v>2024</v>
      </c>
      <c r="B372" s="46" t="s">
        <v>1411</v>
      </c>
      <c r="C372" s="46" t="s">
        <v>9005</v>
      </c>
      <c r="D372" s="44" t="s">
        <v>414</v>
      </c>
      <c r="E372" s="45" t="s">
        <v>1179</v>
      </c>
      <c r="F372" s="54">
        <v>910.36</v>
      </c>
      <c r="G372" s="54">
        <v>0</v>
      </c>
      <c r="H372" s="54">
        <v>0</v>
      </c>
      <c r="I372" s="54">
        <v>0</v>
      </c>
      <c r="J372" s="54">
        <v>0</v>
      </c>
      <c r="K372" s="54">
        <v>0</v>
      </c>
      <c r="L372" s="54">
        <v>0</v>
      </c>
      <c r="M372" s="43"/>
      <c r="N372" s="54">
        <v>0</v>
      </c>
      <c r="O372" s="54">
        <v>0</v>
      </c>
      <c r="P372" s="54">
        <v>0</v>
      </c>
      <c r="Q372" s="54">
        <v>910.36</v>
      </c>
    </row>
    <row r="373" spans="1:17" ht="26.45">
      <c r="A373" s="47">
        <v>2024</v>
      </c>
      <c r="B373" s="50" t="s">
        <v>1411</v>
      </c>
      <c r="C373" s="50" t="s">
        <v>9005</v>
      </c>
      <c r="D373" s="47" t="s">
        <v>415</v>
      </c>
      <c r="E373" s="48" t="s">
        <v>1180</v>
      </c>
      <c r="F373" s="53">
        <v>4675.29</v>
      </c>
      <c r="G373" s="53">
        <v>6943.13</v>
      </c>
      <c r="H373" s="53">
        <v>0</v>
      </c>
      <c r="I373" s="53">
        <v>0</v>
      </c>
      <c r="J373" s="53">
        <v>0</v>
      </c>
      <c r="K373" s="53">
        <v>0</v>
      </c>
      <c r="L373" s="53">
        <v>0</v>
      </c>
      <c r="M373" s="43"/>
      <c r="N373" s="53">
        <v>0</v>
      </c>
      <c r="O373" s="53">
        <v>0</v>
      </c>
      <c r="P373" s="53">
        <v>0</v>
      </c>
      <c r="Q373" s="53">
        <v>11618.42</v>
      </c>
    </row>
    <row r="374" spans="1:17" ht="26.45">
      <c r="A374" s="47">
        <v>2024</v>
      </c>
      <c r="B374" s="50" t="s">
        <v>1411</v>
      </c>
      <c r="C374" s="50" t="s">
        <v>9005</v>
      </c>
      <c r="D374" s="47" t="s">
        <v>416</v>
      </c>
      <c r="E374" s="48" t="s">
        <v>1183</v>
      </c>
      <c r="F374" s="53">
        <v>791.93</v>
      </c>
      <c r="G374" s="53">
        <v>0</v>
      </c>
      <c r="H374" s="53">
        <v>0</v>
      </c>
      <c r="I374" s="53">
        <v>0</v>
      </c>
      <c r="J374" s="53">
        <v>0</v>
      </c>
      <c r="K374" s="53">
        <v>0</v>
      </c>
      <c r="L374" s="53">
        <v>0</v>
      </c>
      <c r="M374" s="43"/>
      <c r="N374" s="53">
        <v>0</v>
      </c>
      <c r="O374" s="53">
        <v>0</v>
      </c>
      <c r="P374" s="53">
        <v>0</v>
      </c>
      <c r="Q374" s="53">
        <v>791.93</v>
      </c>
    </row>
    <row r="375" spans="1:17" ht="39.6">
      <c r="A375" s="44">
        <v>2024</v>
      </c>
      <c r="B375" s="46" t="s">
        <v>1411</v>
      </c>
      <c r="C375" s="46" t="s">
        <v>9005</v>
      </c>
      <c r="D375" s="44" t="s">
        <v>417</v>
      </c>
      <c r="E375" s="45" t="s">
        <v>1184</v>
      </c>
      <c r="F375" s="54">
        <v>316.33999999999997</v>
      </c>
      <c r="G375" s="54">
        <v>0</v>
      </c>
      <c r="H375" s="54">
        <v>0</v>
      </c>
      <c r="I375" s="54">
        <v>0</v>
      </c>
      <c r="J375" s="54">
        <v>0</v>
      </c>
      <c r="K375" s="54">
        <v>0</v>
      </c>
      <c r="L375" s="54">
        <v>0</v>
      </c>
      <c r="M375" s="43"/>
      <c r="N375" s="54">
        <v>0</v>
      </c>
      <c r="O375" s="54">
        <v>0</v>
      </c>
      <c r="P375" s="54">
        <v>0</v>
      </c>
      <c r="Q375" s="54">
        <v>316.33999999999997</v>
      </c>
    </row>
    <row r="376" spans="1:17" ht="26.45">
      <c r="A376" s="47">
        <v>2024</v>
      </c>
      <c r="B376" s="50" t="s">
        <v>1411</v>
      </c>
      <c r="C376" s="50" t="s">
        <v>9005</v>
      </c>
      <c r="D376" s="47" t="s">
        <v>418</v>
      </c>
      <c r="E376" s="48" t="s">
        <v>1185</v>
      </c>
      <c r="F376" s="53">
        <v>14775.06</v>
      </c>
      <c r="G376" s="53">
        <v>392.11</v>
      </c>
      <c r="H376" s="53">
        <v>0</v>
      </c>
      <c r="I376" s="53">
        <v>0</v>
      </c>
      <c r="J376" s="53">
        <v>0</v>
      </c>
      <c r="K376" s="53">
        <v>0</v>
      </c>
      <c r="L376" s="53">
        <v>0</v>
      </c>
      <c r="M376" s="43"/>
      <c r="N376" s="53">
        <v>0</v>
      </c>
      <c r="O376" s="53">
        <v>0</v>
      </c>
      <c r="P376" s="53">
        <v>0</v>
      </c>
      <c r="Q376" s="53">
        <v>15167.17</v>
      </c>
    </row>
    <row r="377" spans="1:17" ht="26.45">
      <c r="A377" s="47">
        <v>2024</v>
      </c>
      <c r="B377" s="50" t="s">
        <v>1411</v>
      </c>
      <c r="C377" s="50" t="s">
        <v>9005</v>
      </c>
      <c r="D377" s="47" t="s">
        <v>419</v>
      </c>
      <c r="E377" s="48" t="s">
        <v>1192</v>
      </c>
      <c r="F377" s="53">
        <v>102.75</v>
      </c>
      <c r="G377" s="53">
        <v>0</v>
      </c>
      <c r="H377" s="53">
        <v>0</v>
      </c>
      <c r="I377" s="53">
        <v>0</v>
      </c>
      <c r="J377" s="53">
        <v>0</v>
      </c>
      <c r="K377" s="53">
        <v>0</v>
      </c>
      <c r="L377" s="53">
        <v>-102.75</v>
      </c>
      <c r="M377" s="43"/>
      <c r="N377" s="53">
        <v>0</v>
      </c>
      <c r="O377" s="53">
        <v>0</v>
      </c>
      <c r="P377" s="53">
        <v>0</v>
      </c>
      <c r="Q377" s="53">
        <v>0</v>
      </c>
    </row>
    <row r="378" spans="1:17" ht="39.6">
      <c r="A378" s="44">
        <v>2024</v>
      </c>
      <c r="B378" s="46" t="s">
        <v>1411</v>
      </c>
      <c r="C378" s="46" t="s">
        <v>9005</v>
      </c>
      <c r="D378" s="44" t="s">
        <v>420</v>
      </c>
      <c r="E378" s="45" t="s">
        <v>1193</v>
      </c>
      <c r="F378" s="54">
        <v>949.39</v>
      </c>
      <c r="G378" s="54">
        <v>0</v>
      </c>
      <c r="H378" s="54">
        <v>0</v>
      </c>
      <c r="I378" s="54">
        <v>0</v>
      </c>
      <c r="J378" s="54">
        <v>0</v>
      </c>
      <c r="K378" s="54">
        <v>0</v>
      </c>
      <c r="L378" s="54">
        <v>0</v>
      </c>
      <c r="M378" s="43"/>
      <c r="N378" s="54">
        <v>0</v>
      </c>
      <c r="O378" s="54">
        <v>0</v>
      </c>
      <c r="P378" s="54">
        <v>0</v>
      </c>
      <c r="Q378" s="54">
        <v>949.39</v>
      </c>
    </row>
    <row r="379" spans="1:17" ht="26.45">
      <c r="A379" s="47">
        <v>2024</v>
      </c>
      <c r="B379" s="50" t="s">
        <v>1411</v>
      </c>
      <c r="C379" s="50" t="s">
        <v>9005</v>
      </c>
      <c r="D379" s="47" t="s">
        <v>421</v>
      </c>
      <c r="E379" s="48" t="s">
        <v>1194</v>
      </c>
      <c r="F379" s="53">
        <v>40.840000000000003</v>
      </c>
      <c r="G379" s="53">
        <v>0</v>
      </c>
      <c r="H379" s="53">
        <v>0</v>
      </c>
      <c r="I379" s="53">
        <v>0</v>
      </c>
      <c r="J379" s="53">
        <v>0</v>
      </c>
      <c r="K379" s="53">
        <v>0</v>
      </c>
      <c r="L379" s="53">
        <v>-40.840000000000003</v>
      </c>
      <c r="M379" s="43"/>
      <c r="N379" s="53">
        <v>0</v>
      </c>
      <c r="O379" s="53">
        <v>0</v>
      </c>
      <c r="P379" s="53">
        <v>0</v>
      </c>
      <c r="Q379" s="53">
        <v>0</v>
      </c>
    </row>
    <row r="380" spans="1:17" ht="26.45">
      <c r="A380" s="47">
        <v>2024</v>
      </c>
      <c r="B380" s="50" t="s">
        <v>1411</v>
      </c>
      <c r="C380" s="50" t="s">
        <v>9005</v>
      </c>
      <c r="D380" s="47" t="s">
        <v>422</v>
      </c>
      <c r="E380" s="48" t="s">
        <v>1197</v>
      </c>
      <c r="F380" s="53">
        <v>92635.5</v>
      </c>
      <c r="G380" s="53">
        <v>0</v>
      </c>
      <c r="H380" s="53">
        <v>0</v>
      </c>
      <c r="I380" s="53">
        <v>0</v>
      </c>
      <c r="J380" s="53">
        <v>0</v>
      </c>
      <c r="K380" s="53">
        <v>0</v>
      </c>
      <c r="L380" s="53">
        <v>0</v>
      </c>
      <c r="M380" s="43"/>
      <c r="N380" s="53">
        <v>0</v>
      </c>
      <c r="O380" s="53">
        <v>0</v>
      </c>
      <c r="P380" s="53">
        <v>0</v>
      </c>
      <c r="Q380" s="53">
        <v>92635.5</v>
      </c>
    </row>
    <row r="381" spans="1:17" ht="26.45">
      <c r="A381" s="44">
        <v>2024</v>
      </c>
      <c r="B381" s="46" t="s">
        <v>1411</v>
      </c>
      <c r="C381" s="46" t="s">
        <v>9005</v>
      </c>
      <c r="D381" s="44" t="s">
        <v>423</v>
      </c>
      <c r="E381" s="45" t="s">
        <v>1198</v>
      </c>
      <c r="F381" s="54">
        <v>802.05</v>
      </c>
      <c r="G381" s="54">
        <v>0</v>
      </c>
      <c r="H381" s="54">
        <v>0</v>
      </c>
      <c r="I381" s="54">
        <v>0</v>
      </c>
      <c r="J381" s="54">
        <v>0</v>
      </c>
      <c r="K381" s="54">
        <v>0</v>
      </c>
      <c r="L381" s="54">
        <v>0</v>
      </c>
      <c r="M381" s="43"/>
      <c r="N381" s="54">
        <v>0</v>
      </c>
      <c r="O381" s="54">
        <v>0</v>
      </c>
      <c r="P381" s="54">
        <v>0</v>
      </c>
      <c r="Q381" s="54">
        <v>802.05</v>
      </c>
    </row>
    <row r="382" spans="1:17" ht="26.45">
      <c r="A382" s="47">
        <v>2024</v>
      </c>
      <c r="B382" s="50" t="s">
        <v>1411</v>
      </c>
      <c r="C382" s="50" t="s">
        <v>9005</v>
      </c>
      <c r="D382" s="47" t="s">
        <v>424</v>
      </c>
      <c r="E382" s="48" t="s">
        <v>1199</v>
      </c>
      <c r="F382" s="53">
        <v>5144.87</v>
      </c>
      <c r="G382" s="53">
        <v>3352.75</v>
      </c>
      <c r="H382" s="53">
        <v>0</v>
      </c>
      <c r="I382" s="53">
        <v>0</v>
      </c>
      <c r="J382" s="53">
        <v>0</v>
      </c>
      <c r="K382" s="53">
        <v>0</v>
      </c>
      <c r="L382" s="53">
        <v>0</v>
      </c>
      <c r="M382" s="43"/>
      <c r="N382" s="53">
        <v>0</v>
      </c>
      <c r="O382" s="53">
        <v>0</v>
      </c>
      <c r="P382" s="53">
        <v>0</v>
      </c>
      <c r="Q382" s="53">
        <v>8497.6200000000008</v>
      </c>
    </row>
    <row r="383" spans="1:17" ht="26.45">
      <c r="A383" s="44">
        <v>2024</v>
      </c>
      <c r="B383" s="46" t="s">
        <v>1411</v>
      </c>
      <c r="C383" s="46" t="s">
        <v>9005</v>
      </c>
      <c r="D383" s="44" t="s">
        <v>425</v>
      </c>
      <c r="E383" s="45" t="s">
        <v>1200</v>
      </c>
      <c r="F383" s="54">
        <v>481.75</v>
      </c>
      <c r="G383" s="54">
        <v>0</v>
      </c>
      <c r="H383" s="54">
        <v>0</v>
      </c>
      <c r="I383" s="54">
        <v>0</v>
      </c>
      <c r="J383" s="54">
        <v>0</v>
      </c>
      <c r="K383" s="54">
        <v>0</v>
      </c>
      <c r="L383" s="54">
        <v>0</v>
      </c>
      <c r="M383" s="43"/>
      <c r="N383" s="54">
        <v>0</v>
      </c>
      <c r="O383" s="54">
        <v>0</v>
      </c>
      <c r="P383" s="54">
        <v>0</v>
      </c>
      <c r="Q383" s="54">
        <v>481.75</v>
      </c>
    </row>
    <row r="384" spans="1:17" ht="26.45">
      <c r="A384" s="47">
        <v>2024</v>
      </c>
      <c r="B384" s="50" t="s">
        <v>1411</v>
      </c>
      <c r="C384" s="50" t="s">
        <v>9005</v>
      </c>
      <c r="D384" s="47" t="s">
        <v>426</v>
      </c>
      <c r="E384" s="48" t="s">
        <v>1201</v>
      </c>
      <c r="F384" s="53">
        <v>435.35</v>
      </c>
      <c r="G384" s="53">
        <v>0</v>
      </c>
      <c r="H384" s="53">
        <v>0</v>
      </c>
      <c r="I384" s="53">
        <v>0</v>
      </c>
      <c r="J384" s="53">
        <v>0</v>
      </c>
      <c r="K384" s="53">
        <v>0</v>
      </c>
      <c r="L384" s="53">
        <v>-435.35</v>
      </c>
      <c r="M384" s="43"/>
      <c r="N384" s="53">
        <v>0</v>
      </c>
      <c r="O384" s="53">
        <v>0</v>
      </c>
      <c r="P384" s="53">
        <v>0</v>
      </c>
      <c r="Q384" s="53">
        <v>0</v>
      </c>
    </row>
    <row r="385" spans="1:17" ht="26.45">
      <c r="A385" s="44">
        <v>2024</v>
      </c>
      <c r="B385" s="46" t="s">
        <v>1411</v>
      </c>
      <c r="C385" s="46" t="s">
        <v>9005</v>
      </c>
      <c r="D385" s="44" t="s">
        <v>427</v>
      </c>
      <c r="E385" s="45" t="s">
        <v>1202</v>
      </c>
      <c r="F385" s="54">
        <v>480.41</v>
      </c>
      <c r="G385" s="54">
        <v>0</v>
      </c>
      <c r="H385" s="54">
        <v>0</v>
      </c>
      <c r="I385" s="54">
        <v>0</v>
      </c>
      <c r="J385" s="54">
        <v>0</v>
      </c>
      <c r="K385" s="54">
        <v>0</v>
      </c>
      <c r="L385" s="54">
        <v>-480.41</v>
      </c>
      <c r="M385" s="43"/>
      <c r="N385" s="54">
        <v>0</v>
      </c>
      <c r="O385" s="54">
        <v>0</v>
      </c>
      <c r="P385" s="54">
        <v>0</v>
      </c>
      <c r="Q385" s="54">
        <v>0</v>
      </c>
    </row>
    <row r="386" spans="1:17" ht="26.45">
      <c r="A386" s="44">
        <v>2024</v>
      </c>
      <c r="B386" s="46" t="s">
        <v>1411</v>
      </c>
      <c r="C386" s="46" t="s">
        <v>9005</v>
      </c>
      <c r="D386" s="44" t="s">
        <v>428</v>
      </c>
      <c r="E386" s="45" t="s">
        <v>1205</v>
      </c>
      <c r="F386" s="54">
        <v>9989.4699999999993</v>
      </c>
      <c r="G386" s="54">
        <v>0</v>
      </c>
      <c r="H386" s="54">
        <v>0</v>
      </c>
      <c r="I386" s="54">
        <v>0</v>
      </c>
      <c r="J386" s="54">
        <v>0</v>
      </c>
      <c r="K386" s="54">
        <v>0</v>
      </c>
      <c r="L386" s="54">
        <v>0</v>
      </c>
      <c r="M386" s="43"/>
      <c r="N386" s="54">
        <v>0</v>
      </c>
      <c r="O386" s="54">
        <v>0</v>
      </c>
      <c r="P386" s="54">
        <v>0</v>
      </c>
      <c r="Q386" s="54">
        <v>9989.4699999999993</v>
      </c>
    </row>
    <row r="387" spans="1:17" ht="26.45">
      <c r="A387" s="47">
        <v>2024</v>
      </c>
      <c r="B387" s="50" t="s">
        <v>1411</v>
      </c>
      <c r="C387" s="50" t="s">
        <v>9005</v>
      </c>
      <c r="D387" s="47" t="s">
        <v>429</v>
      </c>
      <c r="E387" s="48" t="s">
        <v>1206</v>
      </c>
      <c r="F387" s="53">
        <v>30246.3</v>
      </c>
      <c r="G387" s="53">
        <v>17526.23</v>
      </c>
      <c r="H387" s="53">
        <v>0</v>
      </c>
      <c r="I387" s="53">
        <v>0</v>
      </c>
      <c r="J387" s="53">
        <v>0</v>
      </c>
      <c r="K387" s="53">
        <v>0</v>
      </c>
      <c r="L387" s="53">
        <v>0</v>
      </c>
      <c r="M387" s="43"/>
      <c r="N387" s="53">
        <v>0</v>
      </c>
      <c r="O387" s="53">
        <v>0</v>
      </c>
      <c r="P387" s="53">
        <v>0</v>
      </c>
      <c r="Q387" s="53">
        <v>47772.53</v>
      </c>
    </row>
    <row r="388" spans="1:17" ht="26.45">
      <c r="A388" s="44">
        <v>2024</v>
      </c>
      <c r="B388" s="46" t="s">
        <v>1411</v>
      </c>
      <c r="C388" s="46" t="s">
        <v>9005</v>
      </c>
      <c r="D388" s="44" t="s">
        <v>430</v>
      </c>
      <c r="E388" s="45" t="s">
        <v>1207</v>
      </c>
      <c r="F388" s="54">
        <v>307.64999999999998</v>
      </c>
      <c r="G388" s="54">
        <v>0</v>
      </c>
      <c r="H388" s="54">
        <v>0</v>
      </c>
      <c r="I388" s="54">
        <v>0</v>
      </c>
      <c r="J388" s="54">
        <v>0</v>
      </c>
      <c r="K388" s="54">
        <v>0</v>
      </c>
      <c r="L388" s="54">
        <v>-307.64999999999998</v>
      </c>
      <c r="M388" s="43"/>
      <c r="N388" s="54">
        <v>0</v>
      </c>
      <c r="O388" s="54">
        <v>0</v>
      </c>
      <c r="P388" s="54">
        <v>0</v>
      </c>
      <c r="Q388" s="54">
        <v>0</v>
      </c>
    </row>
    <row r="389" spans="1:17" ht="26.45">
      <c r="A389" s="47">
        <v>2024</v>
      </c>
      <c r="B389" s="50" t="s">
        <v>1411</v>
      </c>
      <c r="C389" s="50" t="s">
        <v>9005</v>
      </c>
      <c r="D389" s="47" t="s">
        <v>431</v>
      </c>
      <c r="E389" s="48" t="s">
        <v>1212</v>
      </c>
      <c r="F389" s="53">
        <v>416.55</v>
      </c>
      <c r="G389" s="53">
        <v>392.32</v>
      </c>
      <c r="H389" s="53">
        <v>0</v>
      </c>
      <c r="I389" s="53">
        <v>0</v>
      </c>
      <c r="J389" s="53">
        <v>0</v>
      </c>
      <c r="K389" s="53">
        <v>0</v>
      </c>
      <c r="L389" s="53">
        <v>-808.87</v>
      </c>
      <c r="M389" s="43"/>
      <c r="N389" s="53">
        <v>0</v>
      </c>
      <c r="O389" s="53">
        <v>0</v>
      </c>
      <c r="P389" s="53">
        <v>0</v>
      </c>
      <c r="Q389" s="53">
        <v>0</v>
      </c>
    </row>
    <row r="390" spans="1:17" ht="26.45">
      <c r="A390" s="44">
        <v>2024</v>
      </c>
      <c r="B390" s="46" t="s">
        <v>1411</v>
      </c>
      <c r="C390" s="46" t="s">
        <v>9005</v>
      </c>
      <c r="D390" s="44" t="s">
        <v>432</v>
      </c>
      <c r="E390" s="45" t="s">
        <v>1213</v>
      </c>
      <c r="F390" s="54">
        <v>20.98</v>
      </c>
      <c r="G390" s="54">
        <v>0</v>
      </c>
      <c r="H390" s="54">
        <v>0</v>
      </c>
      <c r="I390" s="54">
        <v>0</v>
      </c>
      <c r="J390" s="54">
        <v>0</v>
      </c>
      <c r="K390" s="54">
        <v>0</v>
      </c>
      <c r="L390" s="54">
        <v>-20.98</v>
      </c>
      <c r="M390" s="43"/>
      <c r="N390" s="54">
        <v>0</v>
      </c>
      <c r="O390" s="54">
        <v>0</v>
      </c>
      <c r="P390" s="54">
        <v>0</v>
      </c>
      <c r="Q390" s="54">
        <v>0</v>
      </c>
    </row>
    <row r="391" spans="1:17" ht="26.45">
      <c r="A391" s="47">
        <v>2024</v>
      </c>
      <c r="B391" s="50" t="s">
        <v>1411</v>
      </c>
      <c r="C391" s="50" t="s">
        <v>9005</v>
      </c>
      <c r="D391" s="47" t="s">
        <v>433</v>
      </c>
      <c r="E391" s="48" t="s">
        <v>1214</v>
      </c>
      <c r="F391" s="53">
        <v>18897.830000000002</v>
      </c>
      <c r="G391" s="53">
        <v>0</v>
      </c>
      <c r="H391" s="53">
        <v>0</v>
      </c>
      <c r="I391" s="53">
        <v>0</v>
      </c>
      <c r="J391" s="53">
        <v>0</v>
      </c>
      <c r="K391" s="53">
        <v>0</v>
      </c>
      <c r="L391" s="53">
        <v>0</v>
      </c>
      <c r="M391" s="43"/>
      <c r="N391" s="53">
        <v>0</v>
      </c>
      <c r="O391" s="53">
        <v>0</v>
      </c>
      <c r="P391" s="53">
        <v>0</v>
      </c>
      <c r="Q391" s="53">
        <v>18897.830000000002</v>
      </c>
    </row>
    <row r="392" spans="1:17" ht="26.45">
      <c r="A392" s="44">
        <v>2024</v>
      </c>
      <c r="B392" s="46" t="s">
        <v>1411</v>
      </c>
      <c r="C392" s="46" t="s">
        <v>9005</v>
      </c>
      <c r="D392" s="44" t="s">
        <v>434</v>
      </c>
      <c r="E392" s="45" t="s">
        <v>1215</v>
      </c>
      <c r="F392" s="54">
        <v>1931.17</v>
      </c>
      <c r="G392" s="54">
        <v>0</v>
      </c>
      <c r="H392" s="54">
        <v>0</v>
      </c>
      <c r="I392" s="54">
        <v>0</v>
      </c>
      <c r="J392" s="54">
        <v>0</v>
      </c>
      <c r="K392" s="54">
        <v>0</v>
      </c>
      <c r="L392" s="54">
        <v>0</v>
      </c>
      <c r="M392" s="43"/>
      <c r="N392" s="54">
        <v>0</v>
      </c>
      <c r="O392" s="54">
        <v>0</v>
      </c>
      <c r="P392" s="54">
        <v>0</v>
      </c>
      <c r="Q392" s="54">
        <v>1931.17</v>
      </c>
    </row>
    <row r="393" spans="1:17" ht="26.45">
      <c r="A393" s="47">
        <v>2024</v>
      </c>
      <c r="B393" s="50" t="s">
        <v>1411</v>
      </c>
      <c r="C393" s="50" t="s">
        <v>9005</v>
      </c>
      <c r="D393" s="47" t="s">
        <v>435</v>
      </c>
      <c r="E393" s="48" t="s">
        <v>1216</v>
      </c>
      <c r="F393" s="53">
        <v>223.06</v>
      </c>
      <c r="G393" s="53">
        <v>0</v>
      </c>
      <c r="H393" s="53">
        <v>0</v>
      </c>
      <c r="I393" s="53">
        <v>0</v>
      </c>
      <c r="J393" s="53">
        <v>0</v>
      </c>
      <c r="K393" s="53">
        <v>0</v>
      </c>
      <c r="L393" s="53">
        <v>-223.06</v>
      </c>
      <c r="M393" s="43"/>
      <c r="N393" s="53">
        <v>0</v>
      </c>
      <c r="O393" s="53">
        <v>0</v>
      </c>
      <c r="P393" s="53">
        <v>0</v>
      </c>
      <c r="Q393" s="53">
        <v>0</v>
      </c>
    </row>
    <row r="394" spans="1:17" ht="26.45">
      <c r="A394" s="44">
        <v>2024</v>
      </c>
      <c r="B394" s="46" t="s">
        <v>1411</v>
      </c>
      <c r="C394" s="46" t="s">
        <v>9005</v>
      </c>
      <c r="D394" s="44" t="s">
        <v>436</v>
      </c>
      <c r="E394" s="45" t="s">
        <v>1217</v>
      </c>
      <c r="F394" s="54">
        <v>29833.38</v>
      </c>
      <c r="G394" s="54">
        <v>1745.98</v>
      </c>
      <c r="H394" s="54">
        <v>0</v>
      </c>
      <c r="I394" s="54">
        <v>0</v>
      </c>
      <c r="J394" s="54">
        <v>0</v>
      </c>
      <c r="K394" s="54">
        <v>0</v>
      </c>
      <c r="L394" s="54">
        <v>0</v>
      </c>
      <c r="M394" s="43"/>
      <c r="N394" s="54">
        <v>0</v>
      </c>
      <c r="O394" s="54">
        <v>0</v>
      </c>
      <c r="P394" s="54">
        <v>0</v>
      </c>
      <c r="Q394" s="54">
        <v>31579.360000000001</v>
      </c>
    </row>
    <row r="395" spans="1:17" ht="26.45">
      <c r="A395" s="47">
        <v>2024</v>
      </c>
      <c r="B395" s="50" t="s">
        <v>1411</v>
      </c>
      <c r="C395" s="50" t="s">
        <v>9005</v>
      </c>
      <c r="D395" s="47" t="s">
        <v>437</v>
      </c>
      <c r="E395" s="48" t="s">
        <v>1218</v>
      </c>
      <c r="F395" s="53">
        <v>1491.78</v>
      </c>
      <c r="G395" s="53">
        <v>988.58</v>
      </c>
      <c r="H395" s="53">
        <v>0</v>
      </c>
      <c r="I395" s="53">
        <v>0</v>
      </c>
      <c r="J395" s="53">
        <v>0</v>
      </c>
      <c r="K395" s="53">
        <v>0</v>
      </c>
      <c r="L395" s="53">
        <v>0</v>
      </c>
      <c r="M395" s="43"/>
      <c r="N395" s="53">
        <v>0</v>
      </c>
      <c r="O395" s="53">
        <v>0</v>
      </c>
      <c r="P395" s="53">
        <v>0</v>
      </c>
      <c r="Q395" s="53">
        <v>2480.36</v>
      </c>
    </row>
    <row r="396" spans="1:17" ht="26.45">
      <c r="A396" s="44">
        <v>2024</v>
      </c>
      <c r="B396" s="46" t="s">
        <v>1411</v>
      </c>
      <c r="C396" s="46" t="s">
        <v>9005</v>
      </c>
      <c r="D396" s="44" t="s">
        <v>438</v>
      </c>
      <c r="E396" s="45" t="s">
        <v>1219</v>
      </c>
      <c r="F396" s="54">
        <v>485.76</v>
      </c>
      <c r="G396" s="54">
        <v>0</v>
      </c>
      <c r="H396" s="54">
        <v>0</v>
      </c>
      <c r="I396" s="54">
        <v>0</v>
      </c>
      <c r="J396" s="54">
        <v>0</v>
      </c>
      <c r="K396" s="54">
        <v>0</v>
      </c>
      <c r="L396" s="54">
        <v>-485.76</v>
      </c>
      <c r="M396" s="43"/>
      <c r="N396" s="54">
        <v>0</v>
      </c>
      <c r="O396" s="54">
        <v>0</v>
      </c>
      <c r="P396" s="54">
        <v>0</v>
      </c>
      <c r="Q396" s="54">
        <v>0</v>
      </c>
    </row>
    <row r="397" spans="1:17" ht="26.45">
      <c r="A397" s="44">
        <v>2024</v>
      </c>
      <c r="B397" s="46" t="s">
        <v>1411</v>
      </c>
      <c r="C397" s="46" t="s">
        <v>9005</v>
      </c>
      <c r="D397" s="44" t="s">
        <v>439</v>
      </c>
      <c r="E397" s="45" t="s">
        <v>1222</v>
      </c>
      <c r="F397" s="54">
        <v>1038.9100000000001</v>
      </c>
      <c r="G397" s="54">
        <v>0</v>
      </c>
      <c r="H397" s="54">
        <v>0</v>
      </c>
      <c r="I397" s="54">
        <v>0</v>
      </c>
      <c r="J397" s="54">
        <v>0</v>
      </c>
      <c r="K397" s="54">
        <v>0</v>
      </c>
      <c r="L397" s="54">
        <v>0</v>
      </c>
      <c r="M397" s="43"/>
      <c r="N397" s="54">
        <v>0</v>
      </c>
      <c r="O397" s="54">
        <v>0</v>
      </c>
      <c r="P397" s="54">
        <v>0</v>
      </c>
      <c r="Q397" s="54">
        <v>1038.9100000000001</v>
      </c>
    </row>
    <row r="398" spans="1:17" ht="26.45">
      <c r="A398" s="44">
        <v>2024</v>
      </c>
      <c r="B398" s="46" t="s">
        <v>1411</v>
      </c>
      <c r="C398" s="46" t="s">
        <v>9005</v>
      </c>
      <c r="D398" s="44" t="s">
        <v>440</v>
      </c>
      <c r="E398" s="45" t="s">
        <v>1225</v>
      </c>
      <c r="F398" s="54">
        <v>6877.69</v>
      </c>
      <c r="G398" s="54">
        <v>0</v>
      </c>
      <c r="H398" s="54">
        <v>0</v>
      </c>
      <c r="I398" s="54">
        <v>0</v>
      </c>
      <c r="J398" s="54">
        <v>0</v>
      </c>
      <c r="K398" s="54">
        <v>0</v>
      </c>
      <c r="L398" s="54">
        <v>0</v>
      </c>
      <c r="M398" s="43"/>
      <c r="N398" s="54">
        <v>0</v>
      </c>
      <c r="O398" s="54">
        <v>0</v>
      </c>
      <c r="P398" s="54">
        <v>0</v>
      </c>
      <c r="Q398" s="54">
        <v>6877.69</v>
      </c>
    </row>
    <row r="399" spans="1:17" ht="26.45">
      <c r="A399" s="47">
        <v>2024</v>
      </c>
      <c r="B399" s="50" t="s">
        <v>1411</v>
      </c>
      <c r="C399" s="50" t="s">
        <v>9005</v>
      </c>
      <c r="D399" s="47" t="s">
        <v>441</v>
      </c>
      <c r="E399" s="48" t="s">
        <v>1226</v>
      </c>
      <c r="F399" s="53">
        <v>9999.25</v>
      </c>
      <c r="G399" s="53">
        <v>5180.66</v>
      </c>
      <c r="H399" s="53">
        <v>0</v>
      </c>
      <c r="I399" s="53">
        <v>0</v>
      </c>
      <c r="J399" s="53">
        <v>0</v>
      </c>
      <c r="K399" s="53">
        <v>0</v>
      </c>
      <c r="L399" s="53">
        <v>0</v>
      </c>
      <c r="M399" s="43"/>
      <c r="N399" s="53">
        <v>0</v>
      </c>
      <c r="O399" s="53">
        <v>0</v>
      </c>
      <c r="P399" s="53">
        <v>0</v>
      </c>
      <c r="Q399" s="53">
        <v>15179.91</v>
      </c>
    </row>
    <row r="400" spans="1:17" ht="26.45">
      <c r="A400" s="44">
        <v>2024</v>
      </c>
      <c r="B400" s="46" t="s">
        <v>1411</v>
      </c>
      <c r="C400" s="46" t="s">
        <v>9005</v>
      </c>
      <c r="D400" s="44" t="s">
        <v>442</v>
      </c>
      <c r="E400" s="45" t="s">
        <v>1227</v>
      </c>
      <c r="F400" s="54">
        <v>1366.16</v>
      </c>
      <c r="G400" s="54">
        <v>0</v>
      </c>
      <c r="H400" s="54">
        <v>0</v>
      </c>
      <c r="I400" s="54">
        <v>0</v>
      </c>
      <c r="J400" s="54">
        <v>0</v>
      </c>
      <c r="K400" s="54">
        <v>0</v>
      </c>
      <c r="L400" s="54">
        <v>0</v>
      </c>
      <c r="M400" s="43"/>
      <c r="N400" s="54">
        <v>0</v>
      </c>
      <c r="O400" s="54">
        <v>0</v>
      </c>
      <c r="P400" s="54">
        <v>0</v>
      </c>
      <c r="Q400" s="54">
        <v>1366.16</v>
      </c>
    </row>
    <row r="401" spans="1:17" ht="26.45">
      <c r="A401" s="47">
        <v>2024</v>
      </c>
      <c r="B401" s="50" t="s">
        <v>1411</v>
      </c>
      <c r="C401" s="50" t="s">
        <v>9005</v>
      </c>
      <c r="D401" s="47" t="s">
        <v>443</v>
      </c>
      <c r="E401" s="48" t="s">
        <v>1228</v>
      </c>
      <c r="F401" s="53">
        <v>1089.19</v>
      </c>
      <c r="G401" s="53">
        <v>102.37</v>
      </c>
      <c r="H401" s="53">
        <v>0</v>
      </c>
      <c r="I401" s="53">
        <v>0</v>
      </c>
      <c r="J401" s="53">
        <v>0</v>
      </c>
      <c r="K401" s="53">
        <v>0</v>
      </c>
      <c r="L401" s="53">
        <v>0</v>
      </c>
      <c r="M401" s="43"/>
      <c r="N401" s="53">
        <v>0</v>
      </c>
      <c r="O401" s="53">
        <v>0</v>
      </c>
      <c r="P401" s="53">
        <v>0</v>
      </c>
      <c r="Q401" s="53">
        <v>1191.56</v>
      </c>
    </row>
    <row r="402" spans="1:17" ht="26.45">
      <c r="A402" s="44">
        <v>2024</v>
      </c>
      <c r="B402" s="46" t="s">
        <v>1411</v>
      </c>
      <c r="C402" s="46" t="s">
        <v>9005</v>
      </c>
      <c r="D402" s="44" t="s">
        <v>444</v>
      </c>
      <c r="E402" s="45" t="s">
        <v>1229</v>
      </c>
      <c r="F402" s="54">
        <v>422.19</v>
      </c>
      <c r="G402" s="54">
        <v>0</v>
      </c>
      <c r="H402" s="54">
        <v>0</v>
      </c>
      <c r="I402" s="54">
        <v>0</v>
      </c>
      <c r="J402" s="54">
        <v>0</v>
      </c>
      <c r="K402" s="54">
        <v>0</v>
      </c>
      <c r="L402" s="54">
        <v>0</v>
      </c>
      <c r="M402" s="43"/>
      <c r="N402" s="54">
        <v>0</v>
      </c>
      <c r="O402" s="54">
        <v>0</v>
      </c>
      <c r="P402" s="54">
        <v>0</v>
      </c>
      <c r="Q402" s="54">
        <v>422.19</v>
      </c>
    </row>
    <row r="403" spans="1:17" ht="26.45">
      <c r="A403" s="44">
        <v>2024</v>
      </c>
      <c r="B403" s="46" t="s">
        <v>1411</v>
      </c>
      <c r="C403" s="46" t="s">
        <v>9005</v>
      </c>
      <c r="D403" s="44" t="s">
        <v>445</v>
      </c>
      <c r="E403" s="45" t="s">
        <v>1232</v>
      </c>
      <c r="F403" s="54">
        <v>1314.14</v>
      </c>
      <c r="G403" s="54">
        <v>0</v>
      </c>
      <c r="H403" s="54">
        <v>0</v>
      </c>
      <c r="I403" s="54">
        <v>0</v>
      </c>
      <c r="J403" s="54">
        <v>0</v>
      </c>
      <c r="K403" s="54">
        <v>0</v>
      </c>
      <c r="L403" s="54">
        <v>0</v>
      </c>
      <c r="M403" s="43"/>
      <c r="N403" s="54">
        <v>0</v>
      </c>
      <c r="O403" s="54">
        <v>0</v>
      </c>
      <c r="P403" s="54">
        <v>0</v>
      </c>
      <c r="Q403" s="54">
        <v>1314.14</v>
      </c>
    </row>
    <row r="404" spans="1:17" ht="26.45">
      <c r="A404" s="47">
        <v>2024</v>
      </c>
      <c r="B404" s="50" t="s">
        <v>1411</v>
      </c>
      <c r="C404" s="50" t="s">
        <v>9005</v>
      </c>
      <c r="D404" s="47" t="s">
        <v>446</v>
      </c>
      <c r="E404" s="48" t="s">
        <v>1233</v>
      </c>
      <c r="F404" s="53">
        <v>88776.55</v>
      </c>
      <c r="G404" s="53">
        <v>29330.62</v>
      </c>
      <c r="H404" s="53">
        <v>0</v>
      </c>
      <c r="I404" s="53">
        <v>0</v>
      </c>
      <c r="J404" s="53">
        <v>0</v>
      </c>
      <c r="K404" s="53">
        <v>0</v>
      </c>
      <c r="L404" s="53">
        <v>0</v>
      </c>
      <c r="M404" s="43"/>
      <c r="N404" s="53">
        <v>0</v>
      </c>
      <c r="O404" s="53">
        <v>0</v>
      </c>
      <c r="P404" s="53">
        <v>0</v>
      </c>
      <c r="Q404" s="53">
        <v>118107.17</v>
      </c>
    </row>
    <row r="405" spans="1:17" ht="26.45">
      <c r="A405" s="44">
        <v>2024</v>
      </c>
      <c r="B405" s="46" t="s">
        <v>1411</v>
      </c>
      <c r="C405" s="46" t="s">
        <v>9005</v>
      </c>
      <c r="D405" s="44" t="s">
        <v>447</v>
      </c>
      <c r="E405" s="45" t="s">
        <v>1234</v>
      </c>
      <c r="F405" s="54">
        <v>586.63</v>
      </c>
      <c r="G405" s="54">
        <v>573.12</v>
      </c>
      <c r="H405" s="54">
        <v>0</v>
      </c>
      <c r="I405" s="54">
        <v>0</v>
      </c>
      <c r="J405" s="54">
        <v>0</v>
      </c>
      <c r="K405" s="54">
        <v>0</v>
      </c>
      <c r="L405" s="54">
        <v>0</v>
      </c>
      <c r="M405" s="43"/>
      <c r="N405" s="54">
        <v>0</v>
      </c>
      <c r="O405" s="54">
        <v>0</v>
      </c>
      <c r="P405" s="54">
        <v>0</v>
      </c>
      <c r="Q405" s="54">
        <v>1159.75</v>
      </c>
    </row>
    <row r="406" spans="1:17" ht="26.45">
      <c r="A406" s="47">
        <v>2024</v>
      </c>
      <c r="B406" s="50" t="s">
        <v>1411</v>
      </c>
      <c r="C406" s="50" t="s">
        <v>9005</v>
      </c>
      <c r="D406" s="47" t="s">
        <v>448</v>
      </c>
      <c r="E406" s="48" t="s">
        <v>1235</v>
      </c>
      <c r="F406" s="53">
        <v>1370.92</v>
      </c>
      <c r="G406" s="53">
        <v>0</v>
      </c>
      <c r="H406" s="53">
        <v>0</v>
      </c>
      <c r="I406" s="53">
        <v>0</v>
      </c>
      <c r="J406" s="53">
        <v>0</v>
      </c>
      <c r="K406" s="53">
        <v>0</v>
      </c>
      <c r="L406" s="53">
        <v>0</v>
      </c>
      <c r="M406" s="43"/>
      <c r="N406" s="53">
        <v>0</v>
      </c>
      <c r="O406" s="53">
        <v>0</v>
      </c>
      <c r="P406" s="53">
        <v>0</v>
      </c>
      <c r="Q406" s="53">
        <v>1370.92</v>
      </c>
    </row>
    <row r="407" spans="1:17" ht="26.45">
      <c r="A407" s="44">
        <v>2024</v>
      </c>
      <c r="B407" s="46" t="s">
        <v>1411</v>
      </c>
      <c r="C407" s="46" t="s">
        <v>9005</v>
      </c>
      <c r="D407" s="44" t="s">
        <v>449</v>
      </c>
      <c r="E407" s="45" t="s">
        <v>1236</v>
      </c>
      <c r="F407" s="54">
        <v>7771.35</v>
      </c>
      <c r="G407" s="54">
        <v>594.87</v>
      </c>
      <c r="H407" s="54">
        <v>0</v>
      </c>
      <c r="I407" s="54">
        <v>0</v>
      </c>
      <c r="J407" s="54">
        <v>0</v>
      </c>
      <c r="K407" s="54">
        <v>0</v>
      </c>
      <c r="L407" s="54">
        <v>0</v>
      </c>
      <c r="M407" s="43"/>
      <c r="N407" s="54">
        <v>0</v>
      </c>
      <c r="O407" s="54">
        <v>0</v>
      </c>
      <c r="P407" s="54">
        <v>0</v>
      </c>
      <c r="Q407" s="54">
        <v>8366.2199999999993</v>
      </c>
    </row>
    <row r="408" spans="1:17" ht="26.45">
      <c r="A408" s="47">
        <v>2024</v>
      </c>
      <c r="B408" s="50" t="s">
        <v>1411</v>
      </c>
      <c r="C408" s="50" t="s">
        <v>9005</v>
      </c>
      <c r="D408" s="47" t="s">
        <v>450</v>
      </c>
      <c r="E408" s="48" t="s">
        <v>1237</v>
      </c>
      <c r="F408" s="53">
        <v>528</v>
      </c>
      <c r="G408" s="53">
        <v>0</v>
      </c>
      <c r="H408" s="53">
        <v>0</v>
      </c>
      <c r="I408" s="53">
        <v>0</v>
      </c>
      <c r="J408" s="53">
        <v>0</v>
      </c>
      <c r="K408" s="53">
        <v>0</v>
      </c>
      <c r="L408" s="53">
        <v>0</v>
      </c>
      <c r="M408" s="43"/>
      <c r="N408" s="53">
        <v>0</v>
      </c>
      <c r="O408" s="53">
        <v>0</v>
      </c>
      <c r="P408" s="53">
        <v>0</v>
      </c>
      <c r="Q408" s="53">
        <v>528</v>
      </c>
    </row>
    <row r="409" spans="1:17" ht="26.45">
      <c r="A409" s="47">
        <v>2024</v>
      </c>
      <c r="B409" s="50" t="s">
        <v>1411</v>
      </c>
      <c r="C409" s="50" t="s">
        <v>9005</v>
      </c>
      <c r="D409" s="47" t="s">
        <v>451</v>
      </c>
      <c r="E409" s="48" t="s">
        <v>1240</v>
      </c>
      <c r="F409" s="53">
        <v>103479.61</v>
      </c>
      <c r="G409" s="53">
        <v>121.78</v>
      </c>
      <c r="H409" s="53">
        <v>0</v>
      </c>
      <c r="I409" s="53">
        <v>0</v>
      </c>
      <c r="J409" s="53">
        <v>0</v>
      </c>
      <c r="K409" s="53">
        <v>0</v>
      </c>
      <c r="L409" s="53">
        <v>0</v>
      </c>
      <c r="M409" s="43"/>
      <c r="N409" s="53">
        <v>0</v>
      </c>
      <c r="O409" s="53">
        <v>0</v>
      </c>
      <c r="P409" s="53">
        <v>0</v>
      </c>
      <c r="Q409" s="53">
        <v>103601.39</v>
      </c>
    </row>
    <row r="410" spans="1:17" ht="26.45">
      <c r="A410" s="44">
        <v>2024</v>
      </c>
      <c r="B410" s="46" t="s">
        <v>1411</v>
      </c>
      <c r="C410" s="46" t="s">
        <v>9005</v>
      </c>
      <c r="D410" s="44" t="s">
        <v>452</v>
      </c>
      <c r="E410" s="45" t="s">
        <v>1245</v>
      </c>
      <c r="F410" s="54">
        <v>7592.78</v>
      </c>
      <c r="G410" s="54">
        <v>0</v>
      </c>
      <c r="H410" s="54">
        <v>0</v>
      </c>
      <c r="I410" s="54">
        <v>0</v>
      </c>
      <c r="J410" s="54">
        <v>0</v>
      </c>
      <c r="K410" s="54">
        <v>0</v>
      </c>
      <c r="L410" s="54">
        <v>0</v>
      </c>
      <c r="M410" s="43"/>
      <c r="N410" s="54">
        <v>0</v>
      </c>
      <c r="O410" s="54">
        <v>0</v>
      </c>
      <c r="P410" s="54">
        <v>0</v>
      </c>
      <c r="Q410" s="54">
        <v>7592.78</v>
      </c>
    </row>
    <row r="411" spans="1:17" ht="26.45">
      <c r="A411" s="47">
        <v>2024</v>
      </c>
      <c r="B411" s="50" t="s">
        <v>1411</v>
      </c>
      <c r="C411" s="50" t="s">
        <v>9005</v>
      </c>
      <c r="D411" s="47" t="s">
        <v>453</v>
      </c>
      <c r="E411" s="48" t="s">
        <v>1246</v>
      </c>
      <c r="F411" s="53">
        <v>810.9</v>
      </c>
      <c r="G411" s="53">
        <v>0</v>
      </c>
      <c r="H411" s="53">
        <v>0</v>
      </c>
      <c r="I411" s="53">
        <v>0</v>
      </c>
      <c r="J411" s="53">
        <v>0</v>
      </c>
      <c r="K411" s="53">
        <v>0</v>
      </c>
      <c r="L411" s="53">
        <v>0</v>
      </c>
      <c r="M411" s="43"/>
      <c r="N411" s="53">
        <v>0</v>
      </c>
      <c r="O411" s="53">
        <v>0</v>
      </c>
      <c r="P411" s="53">
        <v>0</v>
      </c>
      <c r="Q411" s="53">
        <v>810.9</v>
      </c>
    </row>
    <row r="412" spans="1:17" ht="26.45">
      <c r="A412" s="44">
        <v>2024</v>
      </c>
      <c r="B412" s="46" t="s">
        <v>1411</v>
      </c>
      <c r="C412" s="46" t="s">
        <v>9005</v>
      </c>
      <c r="D412" s="44" t="s">
        <v>454</v>
      </c>
      <c r="E412" s="45" t="s">
        <v>1247</v>
      </c>
      <c r="F412" s="54">
        <v>1870.94</v>
      </c>
      <c r="G412" s="54">
        <v>2562.0300000000002</v>
      </c>
      <c r="H412" s="54">
        <v>0</v>
      </c>
      <c r="I412" s="54">
        <v>0</v>
      </c>
      <c r="J412" s="54">
        <v>0</v>
      </c>
      <c r="K412" s="54">
        <v>0</v>
      </c>
      <c r="L412" s="54">
        <v>0</v>
      </c>
      <c r="M412" s="43"/>
      <c r="N412" s="54">
        <v>0</v>
      </c>
      <c r="O412" s="54">
        <v>0</v>
      </c>
      <c r="P412" s="54">
        <v>0</v>
      </c>
      <c r="Q412" s="54">
        <v>4432.97</v>
      </c>
    </row>
    <row r="413" spans="1:17" ht="26.45">
      <c r="A413" s="44">
        <v>2024</v>
      </c>
      <c r="B413" s="46" t="s">
        <v>1411</v>
      </c>
      <c r="C413" s="46" t="s">
        <v>9005</v>
      </c>
      <c r="D413" s="44" t="s">
        <v>455</v>
      </c>
      <c r="E413" s="45" t="s">
        <v>1250</v>
      </c>
      <c r="F413" s="54">
        <v>787.39</v>
      </c>
      <c r="G413" s="54">
        <v>0</v>
      </c>
      <c r="H413" s="54">
        <v>0</v>
      </c>
      <c r="I413" s="54">
        <v>0</v>
      </c>
      <c r="J413" s="54">
        <v>0</v>
      </c>
      <c r="K413" s="54">
        <v>0</v>
      </c>
      <c r="L413" s="54">
        <v>-787.39</v>
      </c>
      <c r="M413" s="43"/>
      <c r="N413" s="54">
        <v>0</v>
      </c>
      <c r="O413" s="54">
        <v>0</v>
      </c>
      <c r="P413" s="54">
        <v>0</v>
      </c>
      <c r="Q413" s="54">
        <v>0</v>
      </c>
    </row>
    <row r="414" spans="1:17" ht="39.6">
      <c r="A414" s="47">
        <v>2024</v>
      </c>
      <c r="B414" s="50" t="s">
        <v>1411</v>
      </c>
      <c r="C414" s="50" t="s">
        <v>9005</v>
      </c>
      <c r="D414" s="47" t="s">
        <v>456</v>
      </c>
      <c r="E414" s="48" t="s">
        <v>1251</v>
      </c>
      <c r="F414" s="53">
        <v>1903.85</v>
      </c>
      <c r="G414" s="53">
        <v>0</v>
      </c>
      <c r="H414" s="53">
        <v>0</v>
      </c>
      <c r="I414" s="53">
        <v>0</v>
      </c>
      <c r="J414" s="53">
        <v>0</v>
      </c>
      <c r="K414" s="53">
        <v>0</v>
      </c>
      <c r="L414" s="53">
        <v>-1903.85</v>
      </c>
      <c r="M414" s="43"/>
      <c r="N414" s="53">
        <v>0</v>
      </c>
      <c r="O414" s="53">
        <v>0</v>
      </c>
      <c r="P414" s="53">
        <v>0</v>
      </c>
      <c r="Q414" s="53">
        <v>0</v>
      </c>
    </row>
    <row r="415" spans="1:17" ht="26.45">
      <c r="A415" s="44">
        <v>2024</v>
      </c>
      <c r="B415" s="46" t="s">
        <v>1411</v>
      </c>
      <c r="C415" s="46" t="s">
        <v>9005</v>
      </c>
      <c r="D415" s="44" t="s">
        <v>457</v>
      </c>
      <c r="E415" s="45" t="s">
        <v>1252</v>
      </c>
      <c r="F415" s="54">
        <v>597.80999999999995</v>
      </c>
      <c r="G415" s="54">
        <v>0</v>
      </c>
      <c r="H415" s="54">
        <v>0</v>
      </c>
      <c r="I415" s="54">
        <v>0</v>
      </c>
      <c r="J415" s="54">
        <v>0</v>
      </c>
      <c r="K415" s="54">
        <v>0</v>
      </c>
      <c r="L415" s="54">
        <v>-597.80999999999995</v>
      </c>
      <c r="M415" s="43"/>
      <c r="N415" s="54">
        <v>0</v>
      </c>
      <c r="O415" s="54">
        <v>0</v>
      </c>
      <c r="P415" s="54">
        <v>0</v>
      </c>
      <c r="Q415" s="54">
        <v>0</v>
      </c>
    </row>
    <row r="416" spans="1:17" ht="26.45">
      <c r="A416" s="47">
        <v>2024</v>
      </c>
      <c r="B416" s="50" t="s">
        <v>1411</v>
      </c>
      <c r="C416" s="50" t="s">
        <v>9005</v>
      </c>
      <c r="D416" s="47" t="s">
        <v>458</v>
      </c>
      <c r="E416" s="48" t="s">
        <v>1257</v>
      </c>
      <c r="F416" s="53">
        <v>9219.01</v>
      </c>
      <c r="G416" s="53">
        <v>8151.6</v>
      </c>
      <c r="H416" s="53">
        <v>0</v>
      </c>
      <c r="I416" s="53">
        <v>0</v>
      </c>
      <c r="J416" s="53">
        <v>0</v>
      </c>
      <c r="K416" s="53">
        <v>0</v>
      </c>
      <c r="L416" s="53">
        <v>0</v>
      </c>
      <c r="M416" s="43"/>
      <c r="N416" s="53">
        <v>0</v>
      </c>
      <c r="O416" s="53">
        <v>0</v>
      </c>
      <c r="P416" s="53">
        <v>0</v>
      </c>
      <c r="Q416" s="53">
        <v>17370.61</v>
      </c>
    </row>
    <row r="417" spans="1:17" ht="26.45">
      <c r="A417" s="47">
        <v>2024</v>
      </c>
      <c r="B417" s="50" t="s">
        <v>1411</v>
      </c>
      <c r="C417" s="50" t="s">
        <v>9005</v>
      </c>
      <c r="D417" s="47" t="s">
        <v>459</v>
      </c>
      <c r="E417" s="48" t="s">
        <v>1260</v>
      </c>
      <c r="F417" s="53">
        <v>7183.92</v>
      </c>
      <c r="G417" s="53">
        <v>123.55</v>
      </c>
      <c r="H417" s="53">
        <v>0</v>
      </c>
      <c r="I417" s="53">
        <v>0</v>
      </c>
      <c r="J417" s="53">
        <v>0</v>
      </c>
      <c r="K417" s="53">
        <v>0</v>
      </c>
      <c r="L417" s="53">
        <v>0</v>
      </c>
      <c r="M417" s="43"/>
      <c r="N417" s="53">
        <v>0</v>
      </c>
      <c r="O417" s="53">
        <v>0</v>
      </c>
      <c r="P417" s="53">
        <v>0</v>
      </c>
      <c r="Q417" s="53">
        <v>7307.47</v>
      </c>
    </row>
    <row r="418" spans="1:17" ht="26.45">
      <c r="A418" s="44">
        <v>2024</v>
      </c>
      <c r="B418" s="46" t="s">
        <v>1411</v>
      </c>
      <c r="C418" s="46" t="s">
        <v>9005</v>
      </c>
      <c r="D418" s="44" t="s">
        <v>460</v>
      </c>
      <c r="E418" s="45" t="s">
        <v>1261</v>
      </c>
      <c r="F418" s="54">
        <v>6454.13</v>
      </c>
      <c r="G418" s="54">
        <v>924.56</v>
      </c>
      <c r="H418" s="54">
        <v>0</v>
      </c>
      <c r="I418" s="54">
        <v>0</v>
      </c>
      <c r="J418" s="54">
        <v>0</v>
      </c>
      <c r="K418" s="54">
        <v>0</v>
      </c>
      <c r="L418" s="54">
        <v>0</v>
      </c>
      <c r="M418" s="43"/>
      <c r="N418" s="54">
        <v>0</v>
      </c>
      <c r="O418" s="54">
        <v>0</v>
      </c>
      <c r="P418" s="54">
        <v>0</v>
      </c>
      <c r="Q418" s="54">
        <v>7378.69</v>
      </c>
    </row>
    <row r="419" spans="1:17" ht="26.45">
      <c r="A419" s="47">
        <v>2024</v>
      </c>
      <c r="B419" s="50" t="s">
        <v>1411</v>
      </c>
      <c r="C419" s="50" t="s">
        <v>9005</v>
      </c>
      <c r="D419" s="47" t="s">
        <v>461</v>
      </c>
      <c r="E419" s="48" t="s">
        <v>1262</v>
      </c>
      <c r="F419" s="53">
        <v>917.7</v>
      </c>
      <c r="G419" s="53">
        <v>0</v>
      </c>
      <c r="H419" s="53">
        <v>0</v>
      </c>
      <c r="I419" s="53">
        <v>0</v>
      </c>
      <c r="J419" s="53">
        <v>0</v>
      </c>
      <c r="K419" s="53">
        <v>0</v>
      </c>
      <c r="L419" s="53">
        <v>0</v>
      </c>
      <c r="M419" s="43"/>
      <c r="N419" s="53">
        <v>0</v>
      </c>
      <c r="O419" s="53">
        <v>0</v>
      </c>
      <c r="P419" s="53">
        <v>0</v>
      </c>
      <c r="Q419" s="53">
        <v>917.7</v>
      </c>
    </row>
    <row r="420" spans="1:17" ht="26.45">
      <c r="A420" s="44">
        <v>2024</v>
      </c>
      <c r="B420" s="46" t="s">
        <v>1411</v>
      </c>
      <c r="C420" s="46" t="s">
        <v>9005</v>
      </c>
      <c r="D420" s="44" t="s">
        <v>462</v>
      </c>
      <c r="E420" s="45" t="s">
        <v>1263</v>
      </c>
      <c r="F420" s="54">
        <v>1089.95</v>
      </c>
      <c r="G420" s="54">
        <v>0</v>
      </c>
      <c r="H420" s="54">
        <v>0</v>
      </c>
      <c r="I420" s="54">
        <v>0</v>
      </c>
      <c r="J420" s="54">
        <v>0</v>
      </c>
      <c r="K420" s="54">
        <v>0</v>
      </c>
      <c r="L420" s="54">
        <v>-1089.95</v>
      </c>
      <c r="M420" s="43"/>
      <c r="N420" s="54">
        <v>0</v>
      </c>
      <c r="O420" s="54">
        <v>0</v>
      </c>
      <c r="P420" s="54">
        <v>0</v>
      </c>
      <c r="Q420" s="54">
        <v>0</v>
      </c>
    </row>
    <row r="421" spans="1:17" ht="26.45">
      <c r="A421" s="47">
        <v>2024</v>
      </c>
      <c r="B421" s="50" t="s">
        <v>1411</v>
      </c>
      <c r="C421" s="50" t="s">
        <v>9005</v>
      </c>
      <c r="D421" s="47" t="s">
        <v>463</v>
      </c>
      <c r="E421" s="48" t="s">
        <v>1264</v>
      </c>
      <c r="F421" s="53">
        <v>1443.06</v>
      </c>
      <c r="G421" s="53">
        <v>2252.61</v>
      </c>
      <c r="H421" s="53">
        <v>0</v>
      </c>
      <c r="I421" s="53">
        <v>0</v>
      </c>
      <c r="J421" s="53">
        <v>0</v>
      </c>
      <c r="K421" s="53">
        <v>0</v>
      </c>
      <c r="L421" s="53">
        <v>0</v>
      </c>
      <c r="M421" s="43"/>
      <c r="N421" s="53">
        <v>0</v>
      </c>
      <c r="O421" s="53">
        <v>0</v>
      </c>
      <c r="P421" s="53">
        <v>0</v>
      </c>
      <c r="Q421" s="53">
        <v>3695.67</v>
      </c>
    </row>
    <row r="422" spans="1:17" ht="26.45">
      <c r="A422" s="47">
        <v>2024</v>
      </c>
      <c r="B422" s="50" t="s">
        <v>1411</v>
      </c>
      <c r="C422" s="50" t="s">
        <v>9005</v>
      </c>
      <c r="D422" s="47" t="s">
        <v>464</v>
      </c>
      <c r="E422" s="48" t="s">
        <v>1267</v>
      </c>
      <c r="F422" s="53">
        <v>8335.8700000000008</v>
      </c>
      <c r="G422" s="53">
        <v>7463.53</v>
      </c>
      <c r="H422" s="53">
        <v>0</v>
      </c>
      <c r="I422" s="53">
        <v>0</v>
      </c>
      <c r="J422" s="53">
        <v>0</v>
      </c>
      <c r="K422" s="53">
        <v>0</v>
      </c>
      <c r="L422" s="53">
        <v>0</v>
      </c>
      <c r="M422" s="43"/>
      <c r="N422" s="53">
        <v>0</v>
      </c>
      <c r="O422" s="53">
        <v>0</v>
      </c>
      <c r="P422" s="53">
        <v>0</v>
      </c>
      <c r="Q422" s="53">
        <v>15799.4</v>
      </c>
    </row>
    <row r="423" spans="1:17" ht="26.45">
      <c r="A423" s="44">
        <v>2024</v>
      </c>
      <c r="B423" s="46" t="s">
        <v>1411</v>
      </c>
      <c r="C423" s="46" t="s">
        <v>9005</v>
      </c>
      <c r="D423" s="44" t="s">
        <v>465</v>
      </c>
      <c r="E423" s="45" t="s">
        <v>1268</v>
      </c>
      <c r="F423" s="54">
        <v>666.62</v>
      </c>
      <c r="G423" s="54">
        <v>0</v>
      </c>
      <c r="H423" s="54">
        <v>0</v>
      </c>
      <c r="I423" s="54">
        <v>0</v>
      </c>
      <c r="J423" s="54">
        <v>0</v>
      </c>
      <c r="K423" s="54">
        <v>0</v>
      </c>
      <c r="L423" s="54">
        <v>0</v>
      </c>
      <c r="M423" s="43"/>
      <c r="N423" s="54">
        <v>0</v>
      </c>
      <c r="O423" s="54">
        <v>0</v>
      </c>
      <c r="P423" s="54">
        <v>0</v>
      </c>
      <c r="Q423" s="54">
        <v>666.62</v>
      </c>
    </row>
    <row r="424" spans="1:17" ht="26.45">
      <c r="A424" s="47">
        <v>2024</v>
      </c>
      <c r="B424" s="50" t="s">
        <v>1411</v>
      </c>
      <c r="C424" s="50" t="s">
        <v>9005</v>
      </c>
      <c r="D424" s="47" t="s">
        <v>466</v>
      </c>
      <c r="E424" s="48" t="s">
        <v>1269</v>
      </c>
      <c r="F424" s="53">
        <v>924.66</v>
      </c>
      <c r="G424" s="53">
        <v>0</v>
      </c>
      <c r="H424" s="53">
        <v>0</v>
      </c>
      <c r="I424" s="53">
        <v>0</v>
      </c>
      <c r="J424" s="53">
        <v>0</v>
      </c>
      <c r="K424" s="53">
        <v>0</v>
      </c>
      <c r="L424" s="53">
        <v>0</v>
      </c>
      <c r="M424" s="43"/>
      <c r="N424" s="53">
        <v>0</v>
      </c>
      <c r="O424" s="53">
        <v>0</v>
      </c>
      <c r="P424" s="53">
        <v>0</v>
      </c>
      <c r="Q424" s="53">
        <v>924.66</v>
      </c>
    </row>
    <row r="425" spans="1:17" ht="26.45">
      <c r="A425" s="47">
        <v>2024</v>
      </c>
      <c r="B425" s="50" t="s">
        <v>1411</v>
      </c>
      <c r="C425" s="50" t="s">
        <v>9005</v>
      </c>
      <c r="D425" s="47" t="s">
        <v>467</v>
      </c>
      <c r="E425" s="48" t="s">
        <v>1272</v>
      </c>
      <c r="F425" s="53">
        <v>276069.53000000003</v>
      </c>
      <c r="G425" s="53">
        <v>182295</v>
      </c>
      <c r="H425" s="53">
        <v>0</v>
      </c>
      <c r="I425" s="53">
        <v>0</v>
      </c>
      <c r="J425" s="53">
        <v>0</v>
      </c>
      <c r="K425" s="53">
        <v>0</v>
      </c>
      <c r="L425" s="53">
        <v>0</v>
      </c>
      <c r="M425" s="43"/>
      <c r="N425" s="53">
        <v>0</v>
      </c>
      <c r="O425" s="53">
        <v>0</v>
      </c>
      <c r="P425" s="53">
        <v>0</v>
      </c>
      <c r="Q425" s="53">
        <v>458364.53</v>
      </c>
    </row>
    <row r="426" spans="1:17" ht="39.6">
      <c r="A426" s="47">
        <v>2024</v>
      </c>
      <c r="B426" s="50" t="s">
        <v>1411</v>
      </c>
      <c r="C426" s="50" t="s">
        <v>9005</v>
      </c>
      <c r="D426" s="47" t="s">
        <v>468</v>
      </c>
      <c r="E426" s="48" t="s">
        <v>1275</v>
      </c>
      <c r="F426" s="53">
        <v>429.19</v>
      </c>
      <c r="G426" s="53">
        <v>0</v>
      </c>
      <c r="H426" s="53">
        <v>0</v>
      </c>
      <c r="I426" s="53">
        <v>0</v>
      </c>
      <c r="J426" s="53">
        <v>0</v>
      </c>
      <c r="K426" s="53">
        <v>0</v>
      </c>
      <c r="L426" s="53">
        <v>0</v>
      </c>
      <c r="M426" s="43"/>
      <c r="N426" s="53">
        <v>0</v>
      </c>
      <c r="O426" s="53">
        <v>0</v>
      </c>
      <c r="P426" s="53">
        <v>0</v>
      </c>
      <c r="Q426" s="53">
        <v>429.19</v>
      </c>
    </row>
    <row r="427" spans="1:17" ht="26.45">
      <c r="A427" s="44">
        <v>2024</v>
      </c>
      <c r="B427" s="46" t="s">
        <v>1411</v>
      </c>
      <c r="C427" s="46" t="s">
        <v>9005</v>
      </c>
      <c r="D427" s="44" t="s">
        <v>469</v>
      </c>
      <c r="E427" s="45" t="s">
        <v>1276</v>
      </c>
      <c r="F427" s="54">
        <v>2266.2600000000002</v>
      </c>
      <c r="G427" s="54">
        <v>2080.19</v>
      </c>
      <c r="H427" s="54">
        <v>0</v>
      </c>
      <c r="I427" s="54">
        <v>0</v>
      </c>
      <c r="J427" s="54">
        <v>0</v>
      </c>
      <c r="K427" s="54">
        <v>0</v>
      </c>
      <c r="L427" s="54">
        <v>0</v>
      </c>
      <c r="M427" s="43"/>
      <c r="N427" s="54">
        <v>0</v>
      </c>
      <c r="O427" s="54">
        <v>0</v>
      </c>
      <c r="P427" s="54">
        <v>0</v>
      </c>
      <c r="Q427" s="54">
        <v>4346.45</v>
      </c>
    </row>
    <row r="428" spans="1:17" ht="26.45">
      <c r="A428" s="47">
        <v>2024</v>
      </c>
      <c r="B428" s="50" t="s">
        <v>1411</v>
      </c>
      <c r="C428" s="50" t="s">
        <v>9005</v>
      </c>
      <c r="D428" s="47" t="s">
        <v>470</v>
      </c>
      <c r="E428" s="48" t="s">
        <v>1277</v>
      </c>
      <c r="F428" s="53">
        <v>33558.32</v>
      </c>
      <c r="G428" s="53">
        <v>11054.41</v>
      </c>
      <c r="H428" s="53">
        <v>0</v>
      </c>
      <c r="I428" s="53">
        <v>0</v>
      </c>
      <c r="J428" s="53">
        <v>0</v>
      </c>
      <c r="K428" s="53">
        <v>0</v>
      </c>
      <c r="L428" s="53">
        <v>0</v>
      </c>
      <c r="M428" s="43"/>
      <c r="N428" s="53">
        <v>0</v>
      </c>
      <c r="O428" s="53">
        <v>0</v>
      </c>
      <c r="P428" s="53">
        <v>0</v>
      </c>
      <c r="Q428" s="53">
        <v>44612.73</v>
      </c>
    </row>
    <row r="429" spans="1:17" ht="26.45">
      <c r="A429" s="44">
        <v>2024</v>
      </c>
      <c r="B429" s="46" t="s">
        <v>1411</v>
      </c>
      <c r="C429" s="46" t="s">
        <v>9005</v>
      </c>
      <c r="D429" s="44" t="s">
        <v>471</v>
      </c>
      <c r="E429" s="45" t="s">
        <v>1278</v>
      </c>
      <c r="F429" s="54">
        <v>300.52999999999997</v>
      </c>
      <c r="G429" s="54">
        <v>0</v>
      </c>
      <c r="H429" s="54">
        <v>0</v>
      </c>
      <c r="I429" s="54">
        <v>0</v>
      </c>
      <c r="J429" s="54">
        <v>0</v>
      </c>
      <c r="K429" s="54">
        <v>0</v>
      </c>
      <c r="L429" s="54">
        <v>0</v>
      </c>
      <c r="M429" s="43"/>
      <c r="N429" s="54">
        <v>0</v>
      </c>
      <c r="O429" s="54">
        <v>0</v>
      </c>
      <c r="P429" s="54">
        <v>0</v>
      </c>
      <c r="Q429" s="54">
        <v>300.52999999999997</v>
      </c>
    </row>
    <row r="430" spans="1:17" ht="52.9">
      <c r="A430" s="47">
        <v>2024</v>
      </c>
      <c r="B430" s="50" t="s">
        <v>1411</v>
      </c>
      <c r="C430" s="50" t="s">
        <v>9005</v>
      </c>
      <c r="D430" s="47" t="s">
        <v>472</v>
      </c>
      <c r="E430" s="48" t="s">
        <v>1279</v>
      </c>
      <c r="F430" s="53">
        <v>1839.63</v>
      </c>
      <c r="G430" s="53">
        <v>0</v>
      </c>
      <c r="H430" s="53">
        <v>0</v>
      </c>
      <c r="I430" s="53">
        <v>0</v>
      </c>
      <c r="J430" s="53">
        <v>0</v>
      </c>
      <c r="K430" s="53">
        <v>0</v>
      </c>
      <c r="L430" s="53">
        <v>-1839.63</v>
      </c>
      <c r="M430" s="43"/>
      <c r="N430" s="53">
        <v>0</v>
      </c>
      <c r="O430" s="53">
        <v>0</v>
      </c>
      <c r="P430" s="53">
        <v>0</v>
      </c>
      <c r="Q430" s="53">
        <v>0</v>
      </c>
    </row>
    <row r="431" spans="1:17" ht="26.45">
      <c r="A431" s="44">
        <v>2024</v>
      </c>
      <c r="B431" s="46" t="s">
        <v>1411</v>
      </c>
      <c r="C431" s="46" t="s">
        <v>9005</v>
      </c>
      <c r="D431" s="44" t="s">
        <v>473</v>
      </c>
      <c r="E431" s="45" t="s">
        <v>1284</v>
      </c>
      <c r="F431" s="54">
        <v>343.23</v>
      </c>
      <c r="G431" s="54">
        <v>0</v>
      </c>
      <c r="H431" s="54">
        <v>0</v>
      </c>
      <c r="I431" s="54">
        <v>0</v>
      </c>
      <c r="J431" s="54">
        <v>0</v>
      </c>
      <c r="K431" s="54">
        <v>0</v>
      </c>
      <c r="L431" s="54">
        <v>-343.23</v>
      </c>
      <c r="M431" s="43"/>
      <c r="N431" s="54">
        <v>0</v>
      </c>
      <c r="O431" s="54">
        <v>0</v>
      </c>
      <c r="P431" s="54">
        <v>0</v>
      </c>
      <c r="Q431" s="54">
        <v>0</v>
      </c>
    </row>
    <row r="432" spans="1:17" ht="26.45">
      <c r="A432" s="44">
        <v>2024</v>
      </c>
      <c r="B432" s="46" t="s">
        <v>1411</v>
      </c>
      <c r="C432" s="46" t="s">
        <v>9005</v>
      </c>
      <c r="D432" s="44" t="s">
        <v>474</v>
      </c>
      <c r="E432" s="45" t="s">
        <v>1287</v>
      </c>
      <c r="F432" s="54">
        <v>770.38</v>
      </c>
      <c r="G432" s="54">
        <v>225.2</v>
      </c>
      <c r="H432" s="54">
        <v>0</v>
      </c>
      <c r="I432" s="54">
        <v>0</v>
      </c>
      <c r="J432" s="54">
        <v>0</v>
      </c>
      <c r="K432" s="54">
        <v>0</v>
      </c>
      <c r="L432" s="54">
        <v>0</v>
      </c>
      <c r="M432" s="43"/>
      <c r="N432" s="54">
        <v>0</v>
      </c>
      <c r="O432" s="54">
        <v>0</v>
      </c>
      <c r="P432" s="54">
        <v>0</v>
      </c>
      <c r="Q432" s="54">
        <v>995.58</v>
      </c>
    </row>
    <row r="433" spans="1:17" ht="26.45">
      <c r="A433" s="47">
        <v>2024</v>
      </c>
      <c r="B433" s="50" t="s">
        <v>1411</v>
      </c>
      <c r="C433" s="50" t="s">
        <v>9005</v>
      </c>
      <c r="D433" s="47" t="s">
        <v>475</v>
      </c>
      <c r="E433" s="48" t="s">
        <v>1288</v>
      </c>
      <c r="F433" s="53">
        <v>176.56</v>
      </c>
      <c r="G433" s="53">
        <v>0</v>
      </c>
      <c r="H433" s="53">
        <v>0</v>
      </c>
      <c r="I433" s="53">
        <v>0</v>
      </c>
      <c r="J433" s="53">
        <v>0</v>
      </c>
      <c r="K433" s="53">
        <v>0</v>
      </c>
      <c r="L433" s="53">
        <v>-176.56</v>
      </c>
      <c r="M433" s="43"/>
      <c r="N433" s="53">
        <v>0</v>
      </c>
      <c r="O433" s="53">
        <v>0</v>
      </c>
      <c r="P433" s="53">
        <v>0</v>
      </c>
      <c r="Q433" s="53">
        <v>0</v>
      </c>
    </row>
    <row r="434" spans="1:17" ht="26.45">
      <c r="A434" s="44">
        <v>2024</v>
      </c>
      <c r="B434" s="46" t="s">
        <v>1411</v>
      </c>
      <c r="C434" s="46" t="s">
        <v>9005</v>
      </c>
      <c r="D434" s="44" t="s">
        <v>476</v>
      </c>
      <c r="E434" s="45" t="s">
        <v>1289</v>
      </c>
      <c r="F434" s="54">
        <v>536.04</v>
      </c>
      <c r="G434" s="54">
        <v>0</v>
      </c>
      <c r="H434" s="54">
        <v>0</v>
      </c>
      <c r="I434" s="54">
        <v>0</v>
      </c>
      <c r="J434" s="54">
        <v>0</v>
      </c>
      <c r="K434" s="54">
        <v>0</v>
      </c>
      <c r="L434" s="54">
        <v>-536.04</v>
      </c>
      <c r="M434" s="43"/>
      <c r="N434" s="54">
        <v>0</v>
      </c>
      <c r="O434" s="54">
        <v>0</v>
      </c>
      <c r="P434" s="54">
        <v>0</v>
      </c>
      <c r="Q434" s="54">
        <v>0</v>
      </c>
    </row>
    <row r="435" spans="1:17" ht="26.45">
      <c r="A435" s="44">
        <v>2024</v>
      </c>
      <c r="B435" s="46" t="s">
        <v>1411</v>
      </c>
      <c r="C435" s="46" t="s">
        <v>9005</v>
      </c>
      <c r="D435" s="44" t="s">
        <v>477</v>
      </c>
      <c r="E435" s="45" t="s">
        <v>1292</v>
      </c>
      <c r="F435" s="54">
        <v>2089.06</v>
      </c>
      <c r="G435" s="54">
        <v>0</v>
      </c>
      <c r="H435" s="54">
        <v>0</v>
      </c>
      <c r="I435" s="54">
        <v>0</v>
      </c>
      <c r="J435" s="54">
        <v>0</v>
      </c>
      <c r="K435" s="54">
        <v>0</v>
      </c>
      <c r="L435" s="54">
        <v>-2089.06</v>
      </c>
      <c r="M435" s="43"/>
      <c r="N435" s="54">
        <v>0</v>
      </c>
      <c r="O435" s="54">
        <v>0</v>
      </c>
      <c r="P435" s="54">
        <v>0</v>
      </c>
      <c r="Q435" s="54">
        <v>0</v>
      </c>
    </row>
    <row r="436" spans="1:17" ht="26.45">
      <c r="A436" s="47">
        <v>2024</v>
      </c>
      <c r="B436" s="50" t="s">
        <v>1411</v>
      </c>
      <c r="C436" s="50" t="s">
        <v>9005</v>
      </c>
      <c r="D436" s="47" t="s">
        <v>478</v>
      </c>
      <c r="E436" s="48" t="s">
        <v>1293</v>
      </c>
      <c r="F436" s="53">
        <v>229321.93</v>
      </c>
      <c r="G436" s="53">
        <v>91694.27</v>
      </c>
      <c r="H436" s="53">
        <v>0</v>
      </c>
      <c r="I436" s="53">
        <v>0</v>
      </c>
      <c r="J436" s="53">
        <v>0</v>
      </c>
      <c r="K436" s="53">
        <v>0</v>
      </c>
      <c r="L436" s="53">
        <v>0</v>
      </c>
      <c r="M436" s="43"/>
      <c r="N436" s="53">
        <v>0</v>
      </c>
      <c r="O436" s="53">
        <v>0</v>
      </c>
      <c r="P436" s="53">
        <v>0</v>
      </c>
      <c r="Q436" s="53">
        <v>321016.2</v>
      </c>
    </row>
    <row r="437" spans="1:17" ht="26.45">
      <c r="A437" s="44">
        <v>2024</v>
      </c>
      <c r="B437" s="46" t="s">
        <v>1411</v>
      </c>
      <c r="C437" s="46" t="s">
        <v>9005</v>
      </c>
      <c r="D437" s="44" t="s">
        <v>479</v>
      </c>
      <c r="E437" s="45" t="s">
        <v>1294</v>
      </c>
      <c r="F437" s="54">
        <v>1176.3800000000001</v>
      </c>
      <c r="G437" s="54">
        <v>0</v>
      </c>
      <c r="H437" s="54">
        <v>0</v>
      </c>
      <c r="I437" s="54">
        <v>0</v>
      </c>
      <c r="J437" s="54">
        <v>0</v>
      </c>
      <c r="K437" s="54">
        <v>0</v>
      </c>
      <c r="L437" s="54">
        <v>0</v>
      </c>
      <c r="M437" s="43"/>
      <c r="N437" s="54">
        <v>0</v>
      </c>
      <c r="O437" s="54">
        <v>0</v>
      </c>
      <c r="P437" s="54">
        <v>0</v>
      </c>
      <c r="Q437" s="54">
        <v>1176.3800000000001</v>
      </c>
    </row>
    <row r="438" spans="1:17" ht="26.45">
      <c r="A438" s="47">
        <v>2024</v>
      </c>
      <c r="B438" s="50" t="s">
        <v>1411</v>
      </c>
      <c r="C438" s="50" t="s">
        <v>9005</v>
      </c>
      <c r="D438" s="47" t="s">
        <v>480</v>
      </c>
      <c r="E438" s="48" t="s">
        <v>1295</v>
      </c>
      <c r="F438" s="53">
        <v>2829.52</v>
      </c>
      <c r="G438" s="53">
        <v>0</v>
      </c>
      <c r="H438" s="53">
        <v>0</v>
      </c>
      <c r="I438" s="53">
        <v>0</v>
      </c>
      <c r="J438" s="53">
        <v>0</v>
      </c>
      <c r="K438" s="53">
        <v>0</v>
      </c>
      <c r="L438" s="53">
        <v>0</v>
      </c>
      <c r="M438" s="43"/>
      <c r="N438" s="53">
        <v>0</v>
      </c>
      <c r="O438" s="53">
        <v>0</v>
      </c>
      <c r="P438" s="53">
        <v>0</v>
      </c>
      <c r="Q438" s="53">
        <v>2829.52</v>
      </c>
    </row>
    <row r="439" spans="1:17" ht="39.6">
      <c r="A439" s="44">
        <v>2024</v>
      </c>
      <c r="B439" s="46" t="s">
        <v>1411</v>
      </c>
      <c r="C439" s="46" t="s">
        <v>9005</v>
      </c>
      <c r="D439" s="44" t="s">
        <v>481</v>
      </c>
      <c r="E439" s="45" t="s">
        <v>1296</v>
      </c>
      <c r="F439" s="54">
        <v>680.88</v>
      </c>
      <c r="G439" s="54">
        <v>800.02</v>
      </c>
      <c r="H439" s="54">
        <v>0</v>
      </c>
      <c r="I439" s="54">
        <v>0</v>
      </c>
      <c r="J439" s="54">
        <v>0</v>
      </c>
      <c r="K439" s="54">
        <v>0</v>
      </c>
      <c r="L439" s="54">
        <v>0</v>
      </c>
      <c r="M439" s="43"/>
      <c r="N439" s="54">
        <v>0</v>
      </c>
      <c r="O439" s="54">
        <v>0</v>
      </c>
      <c r="P439" s="54">
        <v>0</v>
      </c>
      <c r="Q439" s="54">
        <v>1480.9</v>
      </c>
    </row>
    <row r="440" spans="1:17" ht="26.45">
      <c r="A440" s="47">
        <v>2024</v>
      </c>
      <c r="B440" s="50" t="s">
        <v>1411</v>
      </c>
      <c r="C440" s="50" t="s">
        <v>9005</v>
      </c>
      <c r="D440" s="47" t="s">
        <v>482</v>
      </c>
      <c r="E440" s="48" t="s">
        <v>1297</v>
      </c>
      <c r="F440" s="53">
        <v>33.54</v>
      </c>
      <c r="G440" s="53">
        <v>0</v>
      </c>
      <c r="H440" s="53">
        <v>0</v>
      </c>
      <c r="I440" s="53">
        <v>0</v>
      </c>
      <c r="J440" s="53">
        <v>0</v>
      </c>
      <c r="K440" s="53">
        <v>0</v>
      </c>
      <c r="L440" s="53">
        <v>-33.54</v>
      </c>
      <c r="M440" s="43"/>
      <c r="N440" s="53">
        <v>0</v>
      </c>
      <c r="O440" s="53">
        <v>0</v>
      </c>
      <c r="P440" s="53">
        <v>0</v>
      </c>
      <c r="Q440" s="53">
        <v>0</v>
      </c>
    </row>
    <row r="441" spans="1:17" ht="39.6">
      <c r="A441" s="44">
        <v>2024</v>
      </c>
      <c r="B441" s="46" t="s">
        <v>1411</v>
      </c>
      <c r="C441" s="46" t="s">
        <v>9005</v>
      </c>
      <c r="D441" s="44" t="s">
        <v>483</v>
      </c>
      <c r="E441" s="45" t="s">
        <v>1298</v>
      </c>
      <c r="F441" s="54">
        <v>385.85</v>
      </c>
      <c r="G441" s="54">
        <v>457.58</v>
      </c>
      <c r="H441" s="54">
        <v>0</v>
      </c>
      <c r="I441" s="54">
        <v>0</v>
      </c>
      <c r="J441" s="54">
        <v>0</v>
      </c>
      <c r="K441" s="54">
        <v>0</v>
      </c>
      <c r="L441" s="54">
        <v>0</v>
      </c>
      <c r="M441" s="43"/>
      <c r="N441" s="54">
        <v>0</v>
      </c>
      <c r="O441" s="54">
        <v>0</v>
      </c>
      <c r="P441" s="54">
        <v>0</v>
      </c>
      <c r="Q441" s="54">
        <v>843.43</v>
      </c>
    </row>
    <row r="442" spans="1:17" ht="26.45">
      <c r="A442" s="44">
        <v>2024</v>
      </c>
      <c r="B442" s="46" t="s">
        <v>1411</v>
      </c>
      <c r="C442" s="46" t="s">
        <v>9005</v>
      </c>
      <c r="D442" s="44" t="s">
        <v>484</v>
      </c>
      <c r="E442" s="45" t="s">
        <v>1301</v>
      </c>
      <c r="F442" s="54">
        <v>17274.439999999999</v>
      </c>
      <c r="G442" s="54">
        <v>14259.12</v>
      </c>
      <c r="H442" s="54">
        <v>0</v>
      </c>
      <c r="I442" s="54">
        <v>0</v>
      </c>
      <c r="J442" s="54">
        <v>0</v>
      </c>
      <c r="K442" s="54">
        <v>0</v>
      </c>
      <c r="L442" s="54">
        <v>0</v>
      </c>
      <c r="M442" s="43"/>
      <c r="N442" s="54">
        <v>0</v>
      </c>
      <c r="O442" s="54">
        <v>0</v>
      </c>
      <c r="P442" s="54">
        <v>0</v>
      </c>
      <c r="Q442" s="54">
        <v>31533.56</v>
      </c>
    </row>
    <row r="443" spans="1:17" ht="26.45">
      <c r="A443" s="47">
        <v>2024</v>
      </c>
      <c r="B443" s="50" t="s">
        <v>1411</v>
      </c>
      <c r="C443" s="50" t="s">
        <v>9005</v>
      </c>
      <c r="D443" s="47" t="s">
        <v>485</v>
      </c>
      <c r="E443" s="48" t="s">
        <v>1302</v>
      </c>
      <c r="F443" s="53">
        <v>3785.02</v>
      </c>
      <c r="G443" s="53">
        <v>2063.7800000000002</v>
      </c>
      <c r="H443" s="53">
        <v>0</v>
      </c>
      <c r="I443" s="53">
        <v>0</v>
      </c>
      <c r="J443" s="53">
        <v>0</v>
      </c>
      <c r="K443" s="53">
        <v>0</v>
      </c>
      <c r="L443" s="53">
        <v>0</v>
      </c>
      <c r="M443" s="43"/>
      <c r="N443" s="53">
        <v>0</v>
      </c>
      <c r="O443" s="53">
        <v>0</v>
      </c>
      <c r="P443" s="53">
        <v>0</v>
      </c>
      <c r="Q443" s="53">
        <v>5848.8</v>
      </c>
    </row>
    <row r="444" spans="1:17" ht="26.45">
      <c r="A444" s="44">
        <v>2024</v>
      </c>
      <c r="B444" s="46" t="s">
        <v>1411</v>
      </c>
      <c r="C444" s="46" t="s">
        <v>9005</v>
      </c>
      <c r="D444" s="44" t="s">
        <v>486</v>
      </c>
      <c r="E444" s="45" t="s">
        <v>1303</v>
      </c>
      <c r="F444" s="54">
        <v>5044.26</v>
      </c>
      <c r="G444" s="54">
        <v>384.99</v>
      </c>
      <c r="H444" s="54">
        <v>0</v>
      </c>
      <c r="I444" s="54">
        <v>0</v>
      </c>
      <c r="J444" s="54">
        <v>0</v>
      </c>
      <c r="K444" s="54">
        <v>0</v>
      </c>
      <c r="L444" s="54">
        <v>0</v>
      </c>
      <c r="M444" s="43"/>
      <c r="N444" s="54">
        <v>0</v>
      </c>
      <c r="O444" s="54">
        <v>0</v>
      </c>
      <c r="P444" s="54">
        <v>0</v>
      </c>
      <c r="Q444" s="54">
        <v>5429.25</v>
      </c>
    </row>
    <row r="445" spans="1:17" ht="26.45">
      <c r="A445" s="47">
        <v>2024</v>
      </c>
      <c r="B445" s="50" t="s">
        <v>1411</v>
      </c>
      <c r="C445" s="50" t="s">
        <v>9005</v>
      </c>
      <c r="D445" s="47" t="s">
        <v>487</v>
      </c>
      <c r="E445" s="48" t="s">
        <v>1304</v>
      </c>
      <c r="F445" s="53">
        <v>2442.9</v>
      </c>
      <c r="G445" s="53">
        <v>622.30999999999995</v>
      </c>
      <c r="H445" s="53">
        <v>0</v>
      </c>
      <c r="I445" s="53">
        <v>0</v>
      </c>
      <c r="J445" s="53">
        <v>0</v>
      </c>
      <c r="K445" s="53">
        <v>0</v>
      </c>
      <c r="L445" s="53">
        <v>0</v>
      </c>
      <c r="M445" s="43"/>
      <c r="N445" s="53">
        <v>0</v>
      </c>
      <c r="O445" s="53">
        <v>0</v>
      </c>
      <c r="P445" s="53">
        <v>0</v>
      </c>
      <c r="Q445" s="53">
        <v>3065.21</v>
      </c>
    </row>
    <row r="446" spans="1:17" ht="26.45">
      <c r="A446" s="44">
        <v>2024</v>
      </c>
      <c r="B446" s="46" t="s">
        <v>1411</v>
      </c>
      <c r="C446" s="46" t="s">
        <v>9005</v>
      </c>
      <c r="D446" s="44" t="s">
        <v>488</v>
      </c>
      <c r="E446" s="45" t="s">
        <v>1305</v>
      </c>
      <c r="F446" s="54">
        <v>11980.02</v>
      </c>
      <c r="G446" s="54">
        <v>0</v>
      </c>
      <c r="H446" s="54">
        <v>0</v>
      </c>
      <c r="I446" s="54">
        <v>0</v>
      </c>
      <c r="J446" s="54">
        <v>0</v>
      </c>
      <c r="K446" s="54">
        <v>0</v>
      </c>
      <c r="L446" s="54">
        <v>0</v>
      </c>
      <c r="M446" s="43"/>
      <c r="N446" s="54">
        <v>0</v>
      </c>
      <c r="O446" s="54">
        <v>0</v>
      </c>
      <c r="P446" s="54">
        <v>0</v>
      </c>
      <c r="Q446" s="54">
        <v>11980.02</v>
      </c>
    </row>
    <row r="447" spans="1:17" ht="26.45">
      <c r="A447" s="47">
        <v>2024</v>
      </c>
      <c r="B447" s="50" t="s">
        <v>1411</v>
      </c>
      <c r="C447" s="50" t="s">
        <v>9005</v>
      </c>
      <c r="D447" s="47" t="s">
        <v>489</v>
      </c>
      <c r="E447" s="48" t="s">
        <v>1306</v>
      </c>
      <c r="F447" s="53">
        <v>8026.37</v>
      </c>
      <c r="G447" s="53">
        <v>7317.6</v>
      </c>
      <c r="H447" s="53">
        <v>0</v>
      </c>
      <c r="I447" s="53">
        <v>0</v>
      </c>
      <c r="J447" s="53">
        <v>0</v>
      </c>
      <c r="K447" s="53">
        <v>0</v>
      </c>
      <c r="L447" s="53">
        <v>0</v>
      </c>
      <c r="M447" s="43"/>
      <c r="N447" s="53">
        <v>0</v>
      </c>
      <c r="O447" s="53">
        <v>0</v>
      </c>
      <c r="P447" s="53">
        <v>0</v>
      </c>
      <c r="Q447" s="53">
        <v>15343.97</v>
      </c>
    </row>
    <row r="448" spans="1:17" ht="26.45">
      <c r="A448" s="44">
        <v>2024</v>
      </c>
      <c r="B448" s="46" t="s">
        <v>1411</v>
      </c>
      <c r="C448" s="46" t="s">
        <v>9005</v>
      </c>
      <c r="D448" s="44" t="s">
        <v>490</v>
      </c>
      <c r="E448" s="45" t="s">
        <v>1307</v>
      </c>
      <c r="F448" s="54">
        <v>7422.7</v>
      </c>
      <c r="G448" s="54">
        <v>77.91</v>
      </c>
      <c r="H448" s="54">
        <v>0</v>
      </c>
      <c r="I448" s="54">
        <v>0</v>
      </c>
      <c r="J448" s="54">
        <v>0</v>
      </c>
      <c r="K448" s="54">
        <v>0</v>
      </c>
      <c r="L448" s="54">
        <v>0</v>
      </c>
      <c r="M448" s="43"/>
      <c r="N448" s="54">
        <v>0</v>
      </c>
      <c r="O448" s="54">
        <v>0</v>
      </c>
      <c r="P448" s="54">
        <v>0</v>
      </c>
      <c r="Q448" s="54">
        <v>7500.61</v>
      </c>
    </row>
    <row r="449" spans="1:17" ht="26.45">
      <c r="A449" s="47">
        <v>2024</v>
      </c>
      <c r="B449" s="50" t="s">
        <v>1411</v>
      </c>
      <c r="C449" s="50" t="s">
        <v>9005</v>
      </c>
      <c r="D449" s="47" t="s">
        <v>491</v>
      </c>
      <c r="E449" s="48" t="s">
        <v>1308</v>
      </c>
      <c r="F449" s="53">
        <v>555.94000000000005</v>
      </c>
      <c r="G449" s="53">
        <v>17.25</v>
      </c>
      <c r="H449" s="53">
        <v>0</v>
      </c>
      <c r="I449" s="53">
        <v>0</v>
      </c>
      <c r="J449" s="53">
        <v>0</v>
      </c>
      <c r="K449" s="53">
        <v>0</v>
      </c>
      <c r="L449" s="53">
        <v>0</v>
      </c>
      <c r="M449" s="43"/>
      <c r="N449" s="53">
        <v>0</v>
      </c>
      <c r="O449" s="53">
        <v>0</v>
      </c>
      <c r="P449" s="53">
        <v>0</v>
      </c>
      <c r="Q449" s="53">
        <v>573.19000000000005</v>
      </c>
    </row>
    <row r="450" spans="1:17" ht="26.45">
      <c r="A450" s="47">
        <v>2024</v>
      </c>
      <c r="B450" s="50" t="s">
        <v>1411</v>
      </c>
      <c r="C450" s="50" t="s">
        <v>9005</v>
      </c>
      <c r="D450" s="47" t="s">
        <v>492</v>
      </c>
      <c r="E450" s="48" t="s">
        <v>1315</v>
      </c>
      <c r="F450" s="53">
        <v>1426.77</v>
      </c>
      <c r="G450" s="53">
        <v>0</v>
      </c>
      <c r="H450" s="53">
        <v>0</v>
      </c>
      <c r="I450" s="53">
        <v>0</v>
      </c>
      <c r="J450" s="53">
        <v>0</v>
      </c>
      <c r="K450" s="53">
        <v>0</v>
      </c>
      <c r="L450" s="53">
        <v>0</v>
      </c>
      <c r="M450" s="43"/>
      <c r="N450" s="53">
        <v>0</v>
      </c>
      <c r="O450" s="53">
        <v>0</v>
      </c>
      <c r="P450" s="53">
        <v>0</v>
      </c>
      <c r="Q450" s="53">
        <v>1426.77</v>
      </c>
    </row>
    <row r="451" spans="1:17" ht="39.6">
      <c r="A451" s="44">
        <v>2024</v>
      </c>
      <c r="B451" s="46" t="s">
        <v>1411</v>
      </c>
      <c r="C451" s="46" t="s">
        <v>9005</v>
      </c>
      <c r="D451" s="44" t="s">
        <v>493</v>
      </c>
      <c r="E451" s="45" t="s">
        <v>1316</v>
      </c>
      <c r="F451" s="54">
        <v>1576.24</v>
      </c>
      <c r="G451" s="54">
        <v>0</v>
      </c>
      <c r="H451" s="54">
        <v>0</v>
      </c>
      <c r="I451" s="54">
        <v>0</v>
      </c>
      <c r="J451" s="54">
        <v>0</v>
      </c>
      <c r="K451" s="54">
        <v>0</v>
      </c>
      <c r="L451" s="54">
        <v>0</v>
      </c>
      <c r="M451" s="43"/>
      <c r="N451" s="54">
        <v>0</v>
      </c>
      <c r="O451" s="54">
        <v>0</v>
      </c>
      <c r="P451" s="54">
        <v>0</v>
      </c>
      <c r="Q451" s="54">
        <v>1576.24</v>
      </c>
    </row>
    <row r="452" spans="1:17" ht="26.45">
      <c r="A452" s="47">
        <v>2024</v>
      </c>
      <c r="B452" s="50" t="s">
        <v>1411</v>
      </c>
      <c r="C452" s="50" t="s">
        <v>9005</v>
      </c>
      <c r="D452" s="47" t="s">
        <v>494</v>
      </c>
      <c r="E452" s="48" t="s">
        <v>1317</v>
      </c>
      <c r="F452" s="53">
        <v>1073.7</v>
      </c>
      <c r="G452" s="53">
        <v>0</v>
      </c>
      <c r="H452" s="53">
        <v>0</v>
      </c>
      <c r="I452" s="53">
        <v>0</v>
      </c>
      <c r="J452" s="53">
        <v>0</v>
      </c>
      <c r="K452" s="53">
        <v>0</v>
      </c>
      <c r="L452" s="53">
        <v>-1073.7</v>
      </c>
      <c r="M452" s="43"/>
      <c r="N452" s="53">
        <v>0</v>
      </c>
      <c r="O452" s="53">
        <v>0</v>
      </c>
      <c r="P452" s="53">
        <v>0</v>
      </c>
      <c r="Q452" s="53">
        <v>0</v>
      </c>
    </row>
    <row r="453" spans="1:17" ht="26.45">
      <c r="A453" s="44">
        <v>2024</v>
      </c>
      <c r="B453" s="46" t="s">
        <v>1411</v>
      </c>
      <c r="C453" s="46" t="s">
        <v>9005</v>
      </c>
      <c r="D453" s="44" t="s">
        <v>495</v>
      </c>
      <c r="E453" s="45" t="s">
        <v>1322</v>
      </c>
      <c r="F453" s="54">
        <v>37899.449999999997</v>
      </c>
      <c r="G453" s="54">
        <v>0</v>
      </c>
      <c r="H453" s="54">
        <v>0</v>
      </c>
      <c r="I453" s="54">
        <v>0</v>
      </c>
      <c r="J453" s="54">
        <v>0</v>
      </c>
      <c r="K453" s="54">
        <v>0</v>
      </c>
      <c r="L453" s="54">
        <v>0</v>
      </c>
      <c r="M453" s="43"/>
      <c r="N453" s="54">
        <v>0</v>
      </c>
      <c r="O453" s="54">
        <v>0</v>
      </c>
      <c r="P453" s="54">
        <v>0</v>
      </c>
      <c r="Q453" s="54">
        <v>37899.449999999997</v>
      </c>
    </row>
  </sheetData>
  <autoFilter ref="A6:Q453" xr:uid="{00000000-0009-0000-0000-000005000000}"/>
  <pageMargins left="1" right="1" top="1" bottom="1.53125" header="1" footer="1"/>
  <pageSetup orientation="landscape" horizontalDpi="300" verticalDpi="300"/>
  <headerFooter alignWithMargins="0">
    <oddFooter>&amp;L&amp;"Arial,Regular"&amp;10 3/8/2024 9:45:38 PM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AF4AC-20C5-45C1-B310-A82FA88282E4}">
  <dimension ref="A1:I40"/>
  <sheetViews>
    <sheetView zoomScale="130" zoomScaleNormal="130" workbookViewId="0">
      <selection activeCell="C2" sqref="C2"/>
    </sheetView>
  </sheetViews>
  <sheetFormatPr defaultRowHeight="14.45"/>
  <cols>
    <col min="3" max="3" width="30.5703125" bestFit="1" customWidth="1"/>
    <col min="4" max="4" width="20.28515625" customWidth="1"/>
  </cols>
  <sheetData>
    <row r="1" spans="1:9">
      <c r="A1" s="61" t="s">
        <v>0</v>
      </c>
      <c r="B1" s="61"/>
      <c r="C1" s="61"/>
      <c r="D1" s="61"/>
      <c r="E1" s="61"/>
      <c r="F1" s="61"/>
      <c r="G1" s="61"/>
      <c r="H1" s="61"/>
      <c r="I1" s="61"/>
    </row>
    <row r="2" spans="1:9">
      <c r="A2" s="61" t="s">
        <v>1</v>
      </c>
      <c r="B2" s="61"/>
      <c r="C2" s="60"/>
      <c r="D2" s="61"/>
      <c r="E2" s="61"/>
      <c r="F2" s="61"/>
      <c r="G2" s="61"/>
      <c r="H2" s="61"/>
      <c r="I2" s="61"/>
    </row>
    <row r="3" spans="1:9">
      <c r="A3" s="61" t="s">
        <v>2</v>
      </c>
      <c r="B3" s="61"/>
      <c r="C3" s="67" t="e">
        <f>VLOOKUP(C2,'Overview 611'!A:C,3,FALSE)</f>
        <v>#N/A</v>
      </c>
      <c r="D3" s="61"/>
      <c r="E3" s="61"/>
      <c r="F3" s="61"/>
      <c r="G3" s="61"/>
      <c r="H3" s="61"/>
      <c r="I3" s="61"/>
    </row>
    <row r="4" spans="1:9">
      <c r="A4" s="61"/>
      <c r="B4" s="61"/>
      <c r="C4" s="61"/>
      <c r="D4" s="61"/>
      <c r="E4" s="61"/>
      <c r="F4" s="61"/>
      <c r="G4" s="61"/>
      <c r="H4" s="61"/>
      <c r="I4" s="61"/>
    </row>
    <row r="5" spans="1:9">
      <c r="A5" s="62" t="s">
        <v>3</v>
      </c>
      <c r="B5" s="61"/>
      <c r="C5" s="61"/>
      <c r="D5" s="61"/>
      <c r="E5" s="61"/>
      <c r="F5" s="61"/>
      <c r="G5" s="61"/>
      <c r="H5" s="61"/>
      <c r="I5" s="61"/>
    </row>
    <row r="6" spans="1:9" ht="37.9" customHeight="1">
      <c r="A6" s="73" t="s">
        <v>4</v>
      </c>
      <c r="B6" s="73"/>
      <c r="C6" s="73"/>
      <c r="D6" s="73"/>
      <c r="E6" s="73"/>
      <c r="F6" s="73"/>
      <c r="G6" s="73"/>
      <c r="H6" s="73"/>
      <c r="I6" s="73"/>
    </row>
    <row r="7" spans="1:9">
      <c r="A7" s="68" t="s">
        <v>5</v>
      </c>
      <c r="B7" s="68"/>
      <c r="C7" s="68"/>
      <c r="D7" s="61" t="s">
        <v>6</v>
      </c>
      <c r="E7" s="61"/>
      <c r="F7" s="61"/>
      <c r="G7" s="61"/>
      <c r="H7" s="61"/>
      <c r="I7" s="61"/>
    </row>
    <row r="8" spans="1:9">
      <c r="A8" s="68" t="s">
        <v>7</v>
      </c>
      <c r="B8" s="68"/>
      <c r="C8" s="68"/>
      <c r="D8" s="66" t="e">
        <f>VLOOKUP(C2,'Overview 611'!A:I,9,FALSE)</f>
        <v>#N/A</v>
      </c>
      <c r="E8" s="61"/>
      <c r="F8" s="61"/>
      <c r="G8" s="61"/>
      <c r="H8" s="61"/>
      <c r="I8" s="61"/>
    </row>
    <row r="9" spans="1:9">
      <c r="A9" s="68" t="s">
        <v>8</v>
      </c>
      <c r="B9" s="68"/>
      <c r="C9" s="68"/>
      <c r="D9" s="66" t="e">
        <f>VLOOKUP(C2,'Overview 611'!A:J,10,FALSE)</f>
        <v>#N/A</v>
      </c>
      <c r="E9" s="61"/>
      <c r="F9" s="61"/>
      <c r="G9" s="61"/>
      <c r="H9" s="61"/>
      <c r="I9" s="61"/>
    </row>
    <row r="10" spans="1:9">
      <c r="A10" s="68" t="s">
        <v>9</v>
      </c>
      <c r="B10" s="68"/>
      <c r="C10" s="68"/>
      <c r="D10" s="61" t="s">
        <v>10</v>
      </c>
      <c r="E10" s="61"/>
      <c r="F10" s="61"/>
      <c r="G10" s="61"/>
      <c r="H10" s="61"/>
      <c r="I10" s="61"/>
    </row>
    <row r="11" spans="1:9">
      <c r="A11" s="68" t="s">
        <v>11</v>
      </c>
      <c r="B11" s="68"/>
      <c r="C11" s="68"/>
      <c r="D11" s="61" t="s">
        <v>12</v>
      </c>
      <c r="E11" s="61"/>
      <c r="F11" s="61"/>
      <c r="G11" s="61"/>
      <c r="H11" s="61"/>
      <c r="I11" s="61"/>
    </row>
    <row r="12" spans="1:9">
      <c r="A12" s="68" t="s">
        <v>13</v>
      </c>
      <c r="B12" s="68"/>
      <c r="C12" s="68"/>
      <c r="D12" s="61" t="s">
        <v>14</v>
      </c>
      <c r="E12" s="61"/>
      <c r="F12" s="61"/>
      <c r="G12" s="61"/>
      <c r="H12" s="61"/>
      <c r="I12" s="61"/>
    </row>
    <row r="13" spans="1:9">
      <c r="A13" s="68" t="s">
        <v>15</v>
      </c>
      <c r="B13" s="68"/>
      <c r="C13" s="68"/>
      <c r="D13" s="61" t="s">
        <v>16</v>
      </c>
      <c r="E13" s="61"/>
      <c r="F13" s="61"/>
      <c r="G13" s="61"/>
      <c r="H13" s="61"/>
      <c r="I13" s="61"/>
    </row>
    <row r="14" spans="1:9">
      <c r="A14" s="68" t="s">
        <v>17</v>
      </c>
      <c r="B14" s="68"/>
      <c r="C14" s="68"/>
      <c r="D14" s="63">
        <v>222101535.93000001</v>
      </c>
      <c r="E14" s="61"/>
      <c r="F14" s="61"/>
      <c r="G14" s="61"/>
      <c r="H14" s="61"/>
      <c r="I14" s="61"/>
    </row>
    <row r="15" spans="1:9">
      <c r="A15" s="68" t="s">
        <v>18</v>
      </c>
      <c r="B15" s="68"/>
      <c r="C15" s="68"/>
      <c r="D15" s="61" t="s">
        <v>19</v>
      </c>
      <c r="E15" s="61"/>
      <c r="F15" s="61"/>
      <c r="G15" s="61"/>
      <c r="H15" s="61"/>
      <c r="I15" s="61"/>
    </row>
    <row r="16" spans="1:9">
      <c r="A16" s="68" t="s">
        <v>20</v>
      </c>
      <c r="B16" s="68"/>
      <c r="C16" s="68"/>
      <c r="D16" s="61" t="s">
        <v>21</v>
      </c>
      <c r="E16" s="61"/>
      <c r="F16" s="61"/>
      <c r="G16" s="61"/>
      <c r="H16" s="61"/>
      <c r="I16" s="61"/>
    </row>
    <row r="17" spans="1:9">
      <c r="A17" s="68" t="s">
        <v>22</v>
      </c>
      <c r="B17" s="68"/>
      <c r="C17" s="68"/>
      <c r="D17" s="61" t="s">
        <v>23</v>
      </c>
      <c r="E17" s="61"/>
      <c r="F17" s="61"/>
      <c r="G17" s="61"/>
      <c r="H17" s="61"/>
      <c r="I17" s="61"/>
    </row>
    <row r="18" spans="1:9">
      <c r="A18" s="68" t="s">
        <v>24</v>
      </c>
      <c r="B18" s="68"/>
      <c r="C18" s="68"/>
      <c r="D18" s="69" t="s">
        <v>25</v>
      </c>
      <c r="E18" s="61"/>
      <c r="F18" s="61"/>
      <c r="G18" s="61"/>
      <c r="H18" s="61"/>
      <c r="I18" s="61"/>
    </row>
    <row r="19" spans="1:9">
      <c r="A19" s="68" t="s">
        <v>26</v>
      </c>
      <c r="B19" s="68"/>
      <c r="C19" s="68"/>
      <c r="D19" s="61" t="s">
        <v>27</v>
      </c>
      <c r="E19" s="61"/>
      <c r="F19" s="61"/>
      <c r="G19" s="61"/>
      <c r="H19" s="61"/>
      <c r="I19" s="61"/>
    </row>
    <row r="20" spans="1:9">
      <c r="A20" s="68" t="s">
        <v>28</v>
      </c>
      <c r="B20" s="68"/>
      <c r="C20" s="68"/>
      <c r="D20" s="66" t="e">
        <f>VLOOKUP(C2,'Overview 611'!A:D,4,FALSE)</f>
        <v>#N/A</v>
      </c>
      <c r="E20" s="61"/>
      <c r="F20" s="61"/>
      <c r="G20" s="61"/>
      <c r="H20" s="61"/>
      <c r="I20" s="61"/>
    </row>
    <row r="21" spans="1:9">
      <c r="A21" s="68" t="s">
        <v>29</v>
      </c>
      <c r="B21" s="68"/>
      <c r="C21" s="68"/>
      <c r="D21" s="70" t="e">
        <f>VLOOKUP(C2,'Overview 611'!A:Q,17,FALSE)</f>
        <v>#N/A</v>
      </c>
      <c r="E21" s="61"/>
      <c r="F21" s="61"/>
      <c r="G21" s="61"/>
      <c r="H21" s="61"/>
      <c r="I21" s="61"/>
    </row>
    <row r="22" spans="1:9">
      <c r="A22" s="68"/>
      <c r="B22" s="68"/>
      <c r="C22" s="68"/>
      <c r="D22" s="71"/>
      <c r="E22" s="61"/>
      <c r="F22" s="61"/>
      <c r="G22" s="61"/>
      <c r="H22" s="61"/>
      <c r="I22" s="61"/>
    </row>
    <row r="23" spans="1:9">
      <c r="A23" s="61" t="s">
        <v>30</v>
      </c>
      <c r="B23" s="61"/>
      <c r="C23" s="61"/>
      <c r="D23" s="61"/>
      <c r="E23" s="61"/>
      <c r="F23" s="61"/>
      <c r="G23" s="61"/>
      <c r="H23" s="61"/>
      <c r="I23" s="61"/>
    </row>
    <row r="24" spans="1:9" ht="100.9" customHeight="1">
      <c r="A24" s="75" t="s">
        <v>31</v>
      </c>
      <c r="B24" s="75"/>
      <c r="C24" s="75"/>
      <c r="D24" s="75"/>
      <c r="E24" s="75"/>
      <c r="F24" s="75"/>
      <c r="G24" s="75"/>
      <c r="H24" s="75"/>
      <c r="I24" s="75"/>
    </row>
    <row r="25" spans="1:9">
      <c r="A25" s="62" t="s">
        <v>32</v>
      </c>
      <c r="B25" s="61"/>
      <c r="C25" s="61"/>
      <c r="D25" s="61"/>
      <c r="E25" s="61"/>
      <c r="F25" s="61"/>
      <c r="G25" s="61"/>
      <c r="H25" s="61"/>
      <c r="I25" s="61"/>
    </row>
    <row r="26" spans="1:9" ht="99" customHeight="1">
      <c r="A26" s="75" t="s">
        <v>33</v>
      </c>
      <c r="B26" s="75"/>
      <c r="C26" s="75"/>
      <c r="D26" s="75"/>
      <c r="E26" s="75"/>
      <c r="F26" s="75"/>
      <c r="G26" s="75"/>
      <c r="H26" s="75"/>
      <c r="I26" s="75"/>
    </row>
    <row r="27" spans="1:9">
      <c r="A27" s="72" t="s">
        <v>34</v>
      </c>
      <c r="B27" s="72"/>
      <c r="C27" s="72"/>
      <c r="D27" s="72"/>
      <c r="E27" s="72"/>
      <c r="F27" s="72"/>
      <c r="G27" s="72"/>
      <c r="H27" s="72"/>
      <c r="I27" s="72"/>
    </row>
    <row r="28" spans="1:9" ht="28.5" customHeight="1">
      <c r="A28" s="76" t="s">
        <v>35</v>
      </c>
      <c r="B28" s="76"/>
      <c r="C28" s="76"/>
      <c r="D28" s="76"/>
      <c r="E28" s="76"/>
      <c r="F28" s="76"/>
      <c r="G28" s="76"/>
      <c r="H28" s="76"/>
      <c r="I28" s="76"/>
    </row>
    <row r="29" spans="1:9">
      <c r="A29" s="72" t="s">
        <v>36</v>
      </c>
      <c r="B29" s="72"/>
      <c r="C29" s="72"/>
      <c r="D29" s="72"/>
      <c r="E29" s="72"/>
      <c r="F29" s="72"/>
      <c r="G29" s="72"/>
      <c r="H29" s="72"/>
      <c r="I29" s="72"/>
    </row>
    <row r="30" spans="1:9">
      <c r="A30" s="72" t="s">
        <v>37</v>
      </c>
      <c r="B30" s="72"/>
      <c r="C30" s="72"/>
      <c r="D30" s="72"/>
      <c r="E30" s="72"/>
      <c r="F30" s="72"/>
      <c r="G30" s="72"/>
      <c r="H30" s="72"/>
      <c r="I30" s="72"/>
    </row>
    <row r="31" spans="1:9">
      <c r="A31" s="64"/>
      <c r="B31" s="64"/>
      <c r="C31" s="64"/>
      <c r="D31" s="64"/>
      <c r="E31" s="64"/>
      <c r="F31" s="64"/>
      <c r="G31" s="64"/>
      <c r="H31" s="64"/>
      <c r="I31" s="64"/>
    </row>
    <row r="32" spans="1:9">
      <c r="A32" s="62" t="s">
        <v>38</v>
      </c>
      <c r="B32" s="61"/>
      <c r="C32" s="61"/>
      <c r="D32" s="61"/>
      <c r="E32" s="61"/>
      <c r="F32" s="61"/>
      <c r="G32" s="61"/>
      <c r="H32" s="61"/>
      <c r="I32" s="61"/>
    </row>
    <row r="33" spans="1:9" ht="127.9" customHeight="1">
      <c r="A33" s="73" t="s">
        <v>39</v>
      </c>
      <c r="B33" s="73"/>
      <c r="C33" s="73"/>
      <c r="D33" s="73"/>
      <c r="E33" s="73"/>
      <c r="F33" s="73"/>
      <c r="G33" s="73"/>
      <c r="H33" s="73"/>
      <c r="I33" s="73"/>
    </row>
    <row r="34" spans="1:9">
      <c r="A34" s="62" t="s">
        <v>40</v>
      </c>
      <c r="B34" s="61"/>
      <c r="C34" s="61"/>
      <c r="D34" s="61"/>
      <c r="E34" s="61"/>
      <c r="F34" s="61"/>
      <c r="G34" s="61"/>
      <c r="H34" s="61"/>
      <c r="I34" s="61"/>
    </row>
    <row r="35" spans="1:9">
      <c r="A35" s="62"/>
      <c r="B35" s="61"/>
      <c r="C35" s="61"/>
      <c r="D35" s="61"/>
      <c r="E35" s="61"/>
      <c r="F35" s="61"/>
      <c r="G35" s="61"/>
      <c r="H35" s="61"/>
      <c r="I35" s="61"/>
    </row>
    <row r="36" spans="1:9" ht="43.5" customHeight="1">
      <c r="A36" s="74" t="s">
        <v>41</v>
      </c>
      <c r="B36" s="74"/>
      <c r="C36" s="74"/>
      <c r="D36" s="74"/>
      <c r="E36" s="74"/>
      <c r="F36" s="74"/>
      <c r="G36" s="74"/>
      <c r="H36" s="74"/>
      <c r="I36" s="74"/>
    </row>
    <row r="37" spans="1:9" ht="43.15" customHeight="1">
      <c r="A37" s="65"/>
      <c r="B37" s="65"/>
      <c r="C37" s="65"/>
      <c r="D37" s="65"/>
      <c r="E37" s="65"/>
      <c r="F37" s="65"/>
      <c r="G37" s="65"/>
      <c r="H37" s="65"/>
      <c r="I37" s="65"/>
    </row>
    <row r="38" spans="1:9">
      <c r="A38" s="62" t="s">
        <v>21</v>
      </c>
      <c r="B38" s="61"/>
      <c r="C38" s="61"/>
      <c r="D38" s="61"/>
      <c r="E38" s="61"/>
      <c r="F38" s="61"/>
      <c r="G38" s="61"/>
      <c r="H38" s="61"/>
      <c r="I38" s="61"/>
    </row>
    <row r="39" spans="1:9">
      <c r="A39" s="62" t="s">
        <v>42</v>
      </c>
      <c r="B39" s="61"/>
      <c r="C39" s="61"/>
      <c r="D39" s="61"/>
      <c r="E39" s="61"/>
      <c r="F39" s="61"/>
      <c r="G39" s="61"/>
      <c r="H39" s="61"/>
      <c r="I39" s="61"/>
    </row>
    <row r="40" spans="1:9">
      <c r="A40" s="61"/>
      <c r="B40" s="65"/>
      <c r="C40" s="61"/>
      <c r="D40" s="61"/>
      <c r="E40" s="61"/>
      <c r="F40" s="61"/>
      <c r="G40" s="61"/>
      <c r="H40" s="61"/>
      <c r="I40" s="61"/>
    </row>
  </sheetData>
  <mergeCells count="9">
    <mergeCell ref="A30:I30"/>
    <mergeCell ref="A33:I33"/>
    <mergeCell ref="A36:I36"/>
    <mergeCell ref="A6:I6"/>
    <mergeCell ref="A24:I24"/>
    <mergeCell ref="A26:I26"/>
    <mergeCell ref="A27:I27"/>
    <mergeCell ref="A28:I28"/>
    <mergeCell ref="A29:I29"/>
  </mergeCells>
  <hyperlinks>
    <hyperlink ref="D18" r:id="rId1" xr:uid="{4D703A23-1C87-4519-9DC8-FF7339BAA76F}"/>
  </hyperlinks>
  <pageMargins left="0.7" right="0.7" top="0.75" bottom="0.75" header="0.3" footer="0.3"/>
  <pageSetup orientation="landscape" verticalDpi="0" r:id="rId2"/>
  <headerFooter>
    <oddHeader>&amp;LIDEA Allocation Award Information&amp;CSection 611&amp;Ressprogmgmt@azed.gov</oddHeader>
    <oddFooter>&amp;R&amp;D</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94F0A39-F5C6-423E-9BD1-DA3A7EE8D739}">
          <x14:formula1>
            <xm:f>Sheet3!$A$2:$A$379</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5DDA-1DCF-4F2D-9015-7613121BC02C}">
  <dimension ref="A1:I40"/>
  <sheetViews>
    <sheetView zoomScale="130" zoomScaleNormal="130" workbookViewId="0">
      <selection activeCell="C2" sqref="C2"/>
    </sheetView>
  </sheetViews>
  <sheetFormatPr defaultRowHeight="14.45"/>
  <cols>
    <col min="3" max="3" width="30.5703125" bestFit="1" customWidth="1"/>
    <col min="4" max="4" width="20.28515625" customWidth="1"/>
  </cols>
  <sheetData>
    <row r="1" spans="1:9">
      <c r="A1" s="61" t="s">
        <v>0</v>
      </c>
      <c r="B1" s="61"/>
      <c r="C1" s="61"/>
      <c r="D1" s="61"/>
      <c r="E1" s="61"/>
      <c r="F1" s="61"/>
      <c r="G1" s="61"/>
      <c r="H1" s="61"/>
      <c r="I1" s="61"/>
    </row>
    <row r="2" spans="1:9">
      <c r="A2" s="61"/>
      <c r="B2" s="61"/>
      <c r="C2" s="60"/>
      <c r="D2" s="61"/>
      <c r="E2" s="61"/>
      <c r="F2" s="61"/>
      <c r="G2" s="61"/>
      <c r="H2" s="61"/>
      <c r="I2" s="61"/>
    </row>
    <row r="3" spans="1:9">
      <c r="A3" s="61" t="s">
        <v>2</v>
      </c>
      <c r="B3" s="61"/>
      <c r="C3" s="67" t="e">
        <f>VLOOKUP(C2,'Overview 611'!A:C,3,FALSE)</f>
        <v>#N/A</v>
      </c>
      <c r="D3" s="61"/>
      <c r="E3" s="61"/>
      <c r="F3" s="61"/>
      <c r="G3" s="61"/>
      <c r="H3" s="61"/>
      <c r="I3" s="61"/>
    </row>
    <row r="4" spans="1:9">
      <c r="A4" s="61"/>
      <c r="B4" s="61"/>
      <c r="C4" s="61"/>
      <c r="D4" s="61"/>
      <c r="E4" s="61"/>
      <c r="F4" s="61"/>
      <c r="G4" s="61"/>
      <c r="H4" s="61"/>
      <c r="I4" s="61"/>
    </row>
    <row r="5" spans="1:9">
      <c r="A5" s="62" t="s">
        <v>3</v>
      </c>
      <c r="B5" s="61"/>
      <c r="C5" s="61"/>
      <c r="D5" s="61"/>
      <c r="E5" s="61"/>
      <c r="F5" s="61"/>
      <c r="G5" s="61"/>
      <c r="H5" s="61"/>
      <c r="I5" s="61"/>
    </row>
    <row r="6" spans="1:9" ht="37.9" customHeight="1">
      <c r="A6" s="73" t="s">
        <v>4</v>
      </c>
      <c r="B6" s="73"/>
      <c r="C6" s="73"/>
      <c r="D6" s="73"/>
      <c r="E6" s="73"/>
      <c r="F6" s="73"/>
      <c r="G6" s="73"/>
      <c r="H6" s="73"/>
      <c r="I6" s="73"/>
    </row>
    <row r="7" spans="1:9">
      <c r="A7" s="68" t="s">
        <v>5</v>
      </c>
      <c r="B7" s="68"/>
      <c r="C7" s="68"/>
      <c r="D7" s="61" t="s">
        <v>43</v>
      </c>
      <c r="E7" s="61"/>
      <c r="F7" s="61"/>
      <c r="G7" s="61"/>
      <c r="H7" s="61"/>
      <c r="I7" s="61"/>
    </row>
    <row r="8" spans="1:9">
      <c r="A8" s="68" t="s">
        <v>7</v>
      </c>
      <c r="B8" s="68"/>
      <c r="C8" s="68"/>
      <c r="D8" s="66" t="e">
        <f>VLOOKUP(C2,'Overview 619'!A:I,9,FALSE)</f>
        <v>#N/A</v>
      </c>
      <c r="E8" s="61"/>
      <c r="F8" s="61"/>
      <c r="G8" s="61"/>
      <c r="H8" s="61"/>
      <c r="I8" s="61"/>
    </row>
    <row r="9" spans="1:9">
      <c r="A9" s="68" t="s">
        <v>44</v>
      </c>
      <c r="B9" s="68"/>
      <c r="C9" s="68"/>
      <c r="D9" s="66" t="e">
        <f>VLOOKUP(C2,'Overview 619'!A:J,10,FALSE)</f>
        <v>#N/A</v>
      </c>
      <c r="E9" s="61"/>
      <c r="F9" s="61"/>
      <c r="G9" s="61"/>
      <c r="H9" s="61"/>
      <c r="I9" s="61"/>
    </row>
    <row r="10" spans="1:9">
      <c r="A10" s="68" t="s">
        <v>9</v>
      </c>
      <c r="B10" s="68"/>
      <c r="C10" s="68"/>
      <c r="D10" s="61" t="s">
        <v>45</v>
      </c>
      <c r="E10" s="61"/>
      <c r="F10" s="61"/>
      <c r="G10" s="61"/>
      <c r="H10" s="61"/>
      <c r="I10" s="61"/>
    </row>
    <row r="11" spans="1:9">
      <c r="A11" s="68" t="s">
        <v>11</v>
      </c>
      <c r="B11" s="68"/>
      <c r="C11" s="68"/>
      <c r="D11" s="61" t="s">
        <v>46</v>
      </c>
      <c r="E11" s="61"/>
      <c r="F11" s="61"/>
      <c r="G11" s="61"/>
      <c r="H11" s="61"/>
      <c r="I11" s="61"/>
    </row>
    <row r="12" spans="1:9">
      <c r="A12" s="68" t="s">
        <v>13</v>
      </c>
      <c r="B12" s="68"/>
      <c r="C12" s="68"/>
      <c r="D12" s="61" t="s">
        <v>14</v>
      </c>
      <c r="E12" s="61"/>
      <c r="F12" s="61"/>
      <c r="G12" s="61"/>
      <c r="H12" s="61"/>
      <c r="I12" s="61"/>
    </row>
    <row r="13" spans="1:9">
      <c r="A13" s="68" t="s">
        <v>15</v>
      </c>
      <c r="B13" s="68"/>
      <c r="C13" s="68"/>
      <c r="D13" s="61" t="s">
        <v>16</v>
      </c>
      <c r="E13" s="61"/>
      <c r="F13" s="61"/>
      <c r="G13" s="61"/>
      <c r="H13" s="61"/>
      <c r="I13" s="61"/>
    </row>
    <row r="14" spans="1:9">
      <c r="A14" s="68" t="s">
        <v>17</v>
      </c>
      <c r="B14" s="68"/>
      <c r="C14" s="68"/>
      <c r="D14" s="63"/>
      <c r="E14" s="61"/>
      <c r="F14" s="61"/>
      <c r="G14" s="61"/>
      <c r="H14" s="61"/>
      <c r="I14" s="61"/>
    </row>
    <row r="15" spans="1:9">
      <c r="A15" s="68" t="s">
        <v>18</v>
      </c>
      <c r="B15" s="68"/>
      <c r="C15" s="68"/>
      <c r="D15" s="61" t="s">
        <v>47</v>
      </c>
      <c r="E15" s="61"/>
      <c r="F15" s="61"/>
      <c r="G15" s="61"/>
      <c r="H15" s="61"/>
      <c r="I15" s="61"/>
    </row>
    <row r="16" spans="1:9">
      <c r="A16" s="68" t="s">
        <v>20</v>
      </c>
      <c r="B16" s="68"/>
      <c r="C16" s="68"/>
      <c r="D16" s="61" t="s">
        <v>21</v>
      </c>
      <c r="E16" s="61"/>
      <c r="F16" s="61"/>
      <c r="G16" s="61"/>
      <c r="H16" s="61"/>
      <c r="I16" s="61"/>
    </row>
    <row r="17" spans="1:9">
      <c r="A17" s="68" t="s">
        <v>22</v>
      </c>
      <c r="B17" s="68"/>
      <c r="C17" s="68"/>
      <c r="D17" s="61" t="s">
        <v>23</v>
      </c>
      <c r="E17" s="61"/>
      <c r="F17" s="61"/>
      <c r="G17" s="61"/>
      <c r="H17" s="61"/>
      <c r="I17" s="61"/>
    </row>
    <row r="18" spans="1:9">
      <c r="A18" s="68" t="s">
        <v>24</v>
      </c>
      <c r="B18" s="68"/>
      <c r="C18" s="68"/>
      <c r="D18" s="69" t="s">
        <v>25</v>
      </c>
      <c r="E18" s="61"/>
      <c r="F18" s="61"/>
      <c r="G18" s="61"/>
      <c r="H18" s="61"/>
      <c r="I18" s="61"/>
    </row>
    <row r="19" spans="1:9">
      <c r="A19" s="68" t="s">
        <v>26</v>
      </c>
      <c r="B19" s="68"/>
      <c r="C19" s="68"/>
      <c r="D19" s="61" t="s">
        <v>27</v>
      </c>
      <c r="E19" s="61"/>
      <c r="F19" s="61"/>
      <c r="G19" s="61"/>
      <c r="H19" s="61"/>
      <c r="I19" s="61"/>
    </row>
    <row r="20" spans="1:9">
      <c r="A20" s="68" t="s">
        <v>28</v>
      </c>
      <c r="B20" s="68"/>
      <c r="C20" s="68"/>
      <c r="D20" s="66" t="e">
        <f>VLOOKUP(C2,'Overview 619'!A:D,4,FALSE)</f>
        <v>#N/A</v>
      </c>
      <c r="E20" s="61"/>
      <c r="F20" s="61"/>
      <c r="G20" s="61"/>
      <c r="H20" s="61"/>
      <c r="I20" s="61"/>
    </row>
    <row r="21" spans="1:9">
      <c r="A21" s="68" t="s">
        <v>29</v>
      </c>
      <c r="B21" s="68"/>
      <c r="C21" s="68"/>
      <c r="D21" s="70" t="e">
        <f>VLOOKUP(C2,'Overview 619'!A:Q,17,FALSE)</f>
        <v>#N/A</v>
      </c>
      <c r="E21" s="61"/>
      <c r="F21" s="61"/>
      <c r="G21" s="61"/>
      <c r="H21" s="61"/>
      <c r="I21" s="61"/>
    </row>
    <row r="22" spans="1:9">
      <c r="A22" s="68"/>
      <c r="B22" s="68"/>
      <c r="C22" s="68"/>
      <c r="D22" s="71"/>
      <c r="E22" s="61"/>
      <c r="F22" s="61"/>
      <c r="G22" s="61"/>
      <c r="H22" s="61"/>
      <c r="I22" s="61"/>
    </row>
    <row r="23" spans="1:9">
      <c r="A23" s="61" t="s">
        <v>30</v>
      </c>
      <c r="B23" s="61"/>
      <c r="C23" s="61"/>
      <c r="D23" s="61"/>
      <c r="E23" s="61"/>
      <c r="F23" s="61"/>
      <c r="G23" s="61"/>
      <c r="H23" s="61"/>
      <c r="I23" s="61"/>
    </row>
    <row r="24" spans="1:9" ht="100.9" customHeight="1">
      <c r="A24" s="75" t="s">
        <v>31</v>
      </c>
      <c r="B24" s="75"/>
      <c r="C24" s="75"/>
      <c r="D24" s="75"/>
      <c r="E24" s="75"/>
      <c r="F24" s="75"/>
      <c r="G24" s="75"/>
      <c r="H24" s="75"/>
      <c r="I24" s="75"/>
    </row>
    <row r="25" spans="1:9">
      <c r="A25" s="62" t="s">
        <v>32</v>
      </c>
      <c r="B25" s="61"/>
      <c r="C25" s="61"/>
      <c r="D25" s="61"/>
      <c r="E25" s="61"/>
      <c r="F25" s="61"/>
      <c r="G25" s="61"/>
      <c r="H25" s="61"/>
      <c r="I25" s="61"/>
    </row>
    <row r="26" spans="1:9" ht="99" customHeight="1">
      <c r="A26" s="75" t="s">
        <v>33</v>
      </c>
      <c r="B26" s="75"/>
      <c r="C26" s="75"/>
      <c r="D26" s="75"/>
      <c r="E26" s="75"/>
      <c r="F26" s="75"/>
      <c r="G26" s="75"/>
      <c r="H26" s="75"/>
      <c r="I26" s="75"/>
    </row>
    <row r="27" spans="1:9">
      <c r="A27" s="72" t="s">
        <v>34</v>
      </c>
      <c r="B27" s="72"/>
      <c r="C27" s="72"/>
      <c r="D27" s="72"/>
      <c r="E27" s="72"/>
      <c r="F27" s="72"/>
      <c r="G27" s="72"/>
      <c r="H27" s="72"/>
      <c r="I27" s="72"/>
    </row>
    <row r="28" spans="1:9" ht="28.5" customHeight="1">
      <c r="A28" s="76" t="s">
        <v>35</v>
      </c>
      <c r="B28" s="76"/>
      <c r="C28" s="76"/>
      <c r="D28" s="76"/>
      <c r="E28" s="76"/>
      <c r="F28" s="76"/>
      <c r="G28" s="76"/>
      <c r="H28" s="76"/>
      <c r="I28" s="76"/>
    </row>
    <row r="29" spans="1:9">
      <c r="A29" s="72" t="s">
        <v>36</v>
      </c>
      <c r="B29" s="72"/>
      <c r="C29" s="72"/>
      <c r="D29" s="72"/>
      <c r="E29" s="72"/>
      <c r="F29" s="72"/>
      <c r="G29" s="72"/>
      <c r="H29" s="72"/>
      <c r="I29" s="72"/>
    </row>
    <row r="30" spans="1:9">
      <c r="A30" s="72" t="s">
        <v>37</v>
      </c>
      <c r="B30" s="72"/>
      <c r="C30" s="72"/>
      <c r="D30" s="72"/>
      <c r="E30" s="72"/>
      <c r="F30" s="72"/>
      <c r="G30" s="72"/>
      <c r="H30" s="72"/>
      <c r="I30" s="72"/>
    </row>
    <row r="31" spans="1:9">
      <c r="A31" s="64"/>
      <c r="B31" s="64"/>
      <c r="C31" s="64"/>
      <c r="D31" s="64"/>
      <c r="E31" s="64"/>
      <c r="F31" s="64"/>
      <c r="G31" s="64"/>
      <c r="H31" s="64"/>
      <c r="I31" s="64"/>
    </row>
    <row r="32" spans="1:9">
      <c r="A32" s="62" t="s">
        <v>38</v>
      </c>
      <c r="B32" s="61"/>
      <c r="C32" s="61"/>
      <c r="D32" s="61"/>
      <c r="E32" s="61"/>
      <c r="F32" s="61"/>
      <c r="G32" s="61"/>
      <c r="H32" s="61"/>
      <c r="I32" s="61"/>
    </row>
    <row r="33" spans="1:9" ht="127.9" customHeight="1">
      <c r="A33" s="73" t="s">
        <v>39</v>
      </c>
      <c r="B33" s="73"/>
      <c r="C33" s="73"/>
      <c r="D33" s="73"/>
      <c r="E33" s="73"/>
      <c r="F33" s="73"/>
      <c r="G33" s="73"/>
      <c r="H33" s="73"/>
      <c r="I33" s="73"/>
    </row>
    <row r="34" spans="1:9">
      <c r="A34" s="62" t="s">
        <v>40</v>
      </c>
      <c r="B34" s="61"/>
      <c r="C34" s="61"/>
      <c r="D34" s="61"/>
      <c r="E34" s="61"/>
      <c r="F34" s="61"/>
      <c r="G34" s="61"/>
      <c r="H34" s="61"/>
      <c r="I34" s="61"/>
    </row>
    <row r="35" spans="1:9">
      <c r="A35" s="62"/>
      <c r="B35" s="61"/>
      <c r="C35" s="61"/>
      <c r="D35" s="61"/>
      <c r="E35" s="61"/>
      <c r="F35" s="61"/>
      <c r="G35" s="61"/>
      <c r="H35" s="61"/>
      <c r="I35" s="61"/>
    </row>
    <row r="36" spans="1:9" ht="43.5" customHeight="1">
      <c r="A36" s="74" t="s">
        <v>41</v>
      </c>
      <c r="B36" s="74"/>
      <c r="C36" s="74"/>
      <c r="D36" s="74"/>
      <c r="E36" s="74"/>
      <c r="F36" s="74"/>
      <c r="G36" s="74"/>
      <c r="H36" s="74"/>
      <c r="I36" s="74"/>
    </row>
    <row r="37" spans="1:9" ht="43.15" customHeight="1">
      <c r="A37" s="65"/>
      <c r="B37" s="65"/>
      <c r="C37" s="65"/>
      <c r="D37" s="65"/>
      <c r="E37" s="65"/>
      <c r="F37" s="65"/>
      <c r="G37" s="65"/>
      <c r="H37" s="65"/>
      <c r="I37" s="65"/>
    </row>
    <row r="38" spans="1:9">
      <c r="A38" s="62" t="s">
        <v>21</v>
      </c>
      <c r="B38" s="61"/>
      <c r="C38" s="61"/>
      <c r="D38" s="61"/>
      <c r="E38" s="61"/>
      <c r="F38" s="61"/>
      <c r="G38" s="61"/>
      <c r="H38" s="61"/>
      <c r="I38" s="61"/>
    </row>
    <row r="39" spans="1:9">
      <c r="A39" s="62" t="s">
        <v>42</v>
      </c>
      <c r="B39" s="61"/>
      <c r="C39" s="61"/>
      <c r="D39" s="61"/>
      <c r="E39" s="61"/>
      <c r="F39" s="61"/>
      <c r="G39" s="61"/>
      <c r="H39" s="61"/>
      <c r="I39" s="61"/>
    </row>
    <row r="40" spans="1:9">
      <c r="A40" s="61"/>
      <c r="B40" s="65"/>
      <c r="C40" s="61"/>
      <c r="D40" s="61"/>
      <c r="E40" s="61"/>
      <c r="F40" s="61"/>
      <c r="G40" s="61"/>
      <c r="H40" s="61"/>
      <c r="I40" s="61"/>
    </row>
  </sheetData>
  <mergeCells count="9">
    <mergeCell ref="A30:I30"/>
    <mergeCell ref="A33:I33"/>
    <mergeCell ref="A36:I36"/>
    <mergeCell ref="A6:I6"/>
    <mergeCell ref="A24:I24"/>
    <mergeCell ref="A26:I26"/>
    <mergeCell ref="A27:I27"/>
    <mergeCell ref="A28:I28"/>
    <mergeCell ref="A29:I29"/>
  </mergeCells>
  <hyperlinks>
    <hyperlink ref="D18" r:id="rId1" xr:uid="{32468336-217F-41ED-8ABD-AC3643259973}"/>
  </hyperlinks>
  <pageMargins left="0.7" right="0.7" top="0.75" bottom="0.75" header="0.3" footer="0.3"/>
  <pageSetup orientation="landscape" verticalDpi="0" r:id="rId2"/>
  <headerFooter>
    <oddHeader>&amp;LIDEA Allocation Award Information&amp;CSection 619&amp;Ressprogmgmt@azed.gov</oddHeader>
    <oddFooter>&amp;R&amp;D</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43FC097-2495-4B9B-A1A2-7F852CA0188A}">
          <x14:formula1>
            <xm:f>Sheet1!$A$2:$A$448</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8CFA-F0FF-4B01-A967-C0B3225E8C0D}">
  <dimension ref="A1:A448"/>
  <sheetViews>
    <sheetView topLeftCell="A412" workbookViewId="0"/>
  </sheetViews>
  <sheetFormatPr defaultRowHeight="14.45"/>
  <cols>
    <col min="1" max="1" width="10.5703125" customWidth="1"/>
  </cols>
  <sheetData>
    <row r="1" spans="1:1">
      <c r="A1" t="s">
        <v>48</v>
      </c>
    </row>
    <row r="2" spans="1:1">
      <c r="A2" t="s">
        <v>49</v>
      </c>
    </row>
    <row r="3" spans="1:1">
      <c r="A3" t="s">
        <v>50</v>
      </c>
    </row>
    <row r="4" spans="1:1">
      <c r="A4" t="s">
        <v>51</v>
      </c>
    </row>
    <row r="5" spans="1:1">
      <c r="A5" t="s">
        <v>52</v>
      </c>
    </row>
    <row r="6" spans="1:1">
      <c r="A6" t="s">
        <v>53</v>
      </c>
    </row>
    <row r="7" spans="1:1">
      <c r="A7" t="s">
        <v>54</v>
      </c>
    </row>
    <row r="8" spans="1:1">
      <c r="A8" t="s">
        <v>55</v>
      </c>
    </row>
    <row r="9" spans="1:1">
      <c r="A9" t="s">
        <v>56</v>
      </c>
    </row>
    <row r="10" spans="1:1">
      <c r="A10" t="s">
        <v>57</v>
      </c>
    </row>
    <row r="11" spans="1:1">
      <c r="A11" t="s">
        <v>58</v>
      </c>
    </row>
    <row r="12" spans="1:1">
      <c r="A12" t="s">
        <v>59</v>
      </c>
    </row>
    <row r="13" spans="1:1">
      <c r="A13" t="s">
        <v>60</v>
      </c>
    </row>
    <row r="14" spans="1:1">
      <c r="A14" t="s">
        <v>61</v>
      </c>
    </row>
    <row r="15" spans="1:1">
      <c r="A15" t="s">
        <v>62</v>
      </c>
    </row>
    <row r="16" spans="1:1">
      <c r="A16" t="s">
        <v>63</v>
      </c>
    </row>
    <row r="17" spans="1:1">
      <c r="A17" t="s">
        <v>64</v>
      </c>
    </row>
    <row r="18" spans="1:1">
      <c r="A18" t="s">
        <v>65</v>
      </c>
    </row>
    <row r="19" spans="1:1">
      <c r="A19" t="s">
        <v>66</v>
      </c>
    </row>
    <row r="20" spans="1:1">
      <c r="A20" t="s">
        <v>67</v>
      </c>
    </row>
    <row r="21" spans="1:1">
      <c r="A21" t="s">
        <v>68</v>
      </c>
    </row>
    <row r="22" spans="1:1">
      <c r="A22" t="s">
        <v>69</v>
      </c>
    </row>
    <row r="23" spans="1:1">
      <c r="A23" t="s">
        <v>70</v>
      </c>
    </row>
    <row r="24" spans="1:1">
      <c r="A24" t="s">
        <v>71</v>
      </c>
    </row>
    <row r="25" spans="1:1">
      <c r="A25" t="s">
        <v>72</v>
      </c>
    </row>
    <row r="26" spans="1:1">
      <c r="A26" t="s">
        <v>73</v>
      </c>
    </row>
    <row r="27" spans="1:1">
      <c r="A27" t="s">
        <v>74</v>
      </c>
    </row>
    <row r="28" spans="1:1">
      <c r="A28" t="s">
        <v>75</v>
      </c>
    </row>
    <row r="29" spans="1:1">
      <c r="A29" t="s">
        <v>76</v>
      </c>
    </row>
    <row r="30" spans="1:1">
      <c r="A30" t="s">
        <v>77</v>
      </c>
    </row>
    <row r="31" spans="1:1">
      <c r="A31" t="s">
        <v>78</v>
      </c>
    </row>
    <row r="32" spans="1:1">
      <c r="A32" t="s">
        <v>79</v>
      </c>
    </row>
    <row r="33" spans="1:1">
      <c r="A33" t="s">
        <v>80</v>
      </c>
    </row>
    <row r="34" spans="1:1">
      <c r="A34" t="s">
        <v>81</v>
      </c>
    </row>
    <row r="35" spans="1:1">
      <c r="A35" t="s">
        <v>82</v>
      </c>
    </row>
    <row r="36" spans="1:1">
      <c r="A36" t="s">
        <v>83</v>
      </c>
    </row>
    <row r="37" spans="1:1">
      <c r="A37" t="s">
        <v>84</v>
      </c>
    </row>
    <row r="38" spans="1:1">
      <c r="A38" t="s">
        <v>85</v>
      </c>
    </row>
    <row r="39" spans="1:1">
      <c r="A39" t="s">
        <v>86</v>
      </c>
    </row>
    <row r="40" spans="1:1">
      <c r="A40" t="s">
        <v>87</v>
      </c>
    </row>
    <row r="41" spans="1:1">
      <c r="A41" t="s">
        <v>88</v>
      </c>
    </row>
    <row r="42" spans="1:1">
      <c r="A42" t="s">
        <v>89</v>
      </c>
    </row>
    <row r="43" spans="1:1">
      <c r="A43" t="s">
        <v>90</v>
      </c>
    </row>
    <row r="44" spans="1:1">
      <c r="A44" t="s">
        <v>91</v>
      </c>
    </row>
    <row r="45" spans="1:1">
      <c r="A45" t="s">
        <v>92</v>
      </c>
    </row>
    <row r="46" spans="1:1">
      <c r="A46" t="s">
        <v>93</v>
      </c>
    </row>
    <row r="47" spans="1:1">
      <c r="A47" t="s">
        <v>94</v>
      </c>
    </row>
    <row r="48" spans="1:1">
      <c r="A48" t="s">
        <v>95</v>
      </c>
    </row>
    <row r="49" spans="1:1">
      <c r="A49" t="s">
        <v>96</v>
      </c>
    </row>
    <row r="50" spans="1:1">
      <c r="A50" t="s">
        <v>97</v>
      </c>
    </row>
    <row r="51" spans="1:1">
      <c r="A51" t="s">
        <v>98</v>
      </c>
    </row>
    <row r="52" spans="1:1">
      <c r="A52" t="s">
        <v>99</v>
      </c>
    </row>
    <row r="53" spans="1:1">
      <c r="A53" t="s">
        <v>100</v>
      </c>
    </row>
    <row r="54" spans="1:1">
      <c r="A54" t="s">
        <v>101</v>
      </c>
    </row>
    <row r="55" spans="1:1">
      <c r="A55" t="s">
        <v>102</v>
      </c>
    </row>
    <row r="56" spans="1:1">
      <c r="A56" t="s">
        <v>103</v>
      </c>
    </row>
    <row r="57" spans="1:1">
      <c r="A57" t="s">
        <v>104</v>
      </c>
    </row>
    <row r="58" spans="1:1">
      <c r="A58" t="s">
        <v>105</v>
      </c>
    </row>
    <row r="59" spans="1:1">
      <c r="A59" t="s">
        <v>106</v>
      </c>
    </row>
    <row r="60" spans="1:1">
      <c r="A60" t="s">
        <v>107</v>
      </c>
    </row>
    <row r="61" spans="1:1">
      <c r="A61" t="s">
        <v>108</v>
      </c>
    </row>
    <row r="62" spans="1:1">
      <c r="A62" t="s">
        <v>109</v>
      </c>
    </row>
    <row r="63" spans="1:1">
      <c r="A63" t="s">
        <v>110</v>
      </c>
    </row>
    <row r="64" spans="1:1">
      <c r="A64" t="s">
        <v>111</v>
      </c>
    </row>
    <row r="65" spans="1:1">
      <c r="A65" t="s">
        <v>112</v>
      </c>
    </row>
    <row r="66" spans="1:1">
      <c r="A66" t="s">
        <v>113</v>
      </c>
    </row>
    <row r="67" spans="1:1">
      <c r="A67" t="s">
        <v>114</v>
      </c>
    </row>
    <row r="68" spans="1:1">
      <c r="A68" t="s">
        <v>115</v>
      </c>
    </row>
    <row r="69" spans="1:1">
      <c r="A69" t="s">
        <v>116</v>
      </c>
    </row>
    <row r="70" spans="1:1">
      <c r="A70" t="s">
        <v>117</v>
      </c>
    </row>
    <row r="71" spans="1:1">
      <c r="A71" t="s">
        <v>118</v>
      </c>
    </row>
    <row r="72" spans="1:1">
      <c r="A72" t="s">
        <v>119</v>
      </c>
    </row>
    <row r="73" spans="1:1">
      <c r="A73" t="s">
        <v>120</v>
      </c>
    </row>
    <row r="74" spans="1:1">
      <c r="A74" t="s">
        <v>121</v>
      </c>
    </row>
    <row r="75" spans="1:1">
      <c r="A75" t="s">
        <v>122</v>
      </c>
    </row>
    <row r="76" spans="1:1">
      <c r="A76" t="s">
        <v>123</v>
      </c>
    </row>
    <row r="77" spans="1:1">
      <c r="A77" t="s">
        <v>124</v>
      </c>
    </row>
    <row r="78" spans="1:1">
      <c r="A78" t="s">
        <v>125</v>
      </c>
    </row>
    <row r="79" spans="1:1">
      <c r="A79" t="s">
        <v>126</v>
      </c>
    </row>
    <row r="80" spans="1:1">
      <c r="A80" t="s">
        <v>127</v>
      </c>
    </row>
    <row r="81" spans="1:1">
      <c r="A81" t="s">
        <v>128</v>
      </c>
    </row>
    <row r="82" spans="1:1">
      <c r="A82" t="s">
        <v>129</v>
      </c>
    </row>
    <row r="83" spans="1:1">
      <c r="A83" t="s">
        <v>130</v>
      </c>
    </row>
    <row r="84" spans="1:1">
      <c r="A84" t="s">
        <v>131</v>
      </c>
    </row>
    <row r="85" spans="1:1">
      <c r="A85" t="s">
        <v>132</v>
      </c>
    </row>
    <row r="86" spans="1:1">
      <c r="A86" t="s">
        <v>133</v>
      </c>
    </row>
    <row r="87" spans="1:1">
      <c r="A87" t="s">
        <v>134</v>
      </c>
    </row>
    <row r="88" spans="1:1">
      <c r="A88" t="s">
        <v>135</v>
      </c>
    </row>
    <row r="89" spans="1:1">
      <c r="A89" t="s">
        <v>136</v>
      </c>
    </row>
    <row r="90" spans="1:1">
      <c r="A90" t="s">
        <v>137</v>
      </c>
    </row>
    <row r="91" spans="1:1">
      <c r="A91" t="s">
        <v>138</v>
      </c>
    </row>
    <row r="92" spans="1:1">
      <c r="A92" t="s">
        <v>139</v>
      </c>
    </row>
    <row r="93" spans="1:1">
      <c r="A93" t="s">
        <v>140</v>
      </c>
    </row>
    <row r="94" spans="1:1">
      <c r="A94" t="s">
        <v>141</v>
      </c>
    </row>
    <row r="95" spans="1:1">
      <c r="A95" t="s">
        <v>142</v>
      </c>
    </row>
    <row r="96" spans="1:1">
      <c r="A96" t="s">
        <v>143</v>
      </c>
    </row>
    <row r="97" spans="1:1">
      <c r="A97" t="s">
        <v>144</v>
      </c>
    </row>
    <row r="98" spans="1:1">
      <c r="A98" t="s">
        <v>145</v>
      </c>
    </row>
    <row r="99" spans="1:1">
      <c r="A99" t="s">
        <v>146</v>
      </c>
    </row>
    <row r="100" spans="1:1">
      <c r="A100" t="s">
        <v>147</v>
      </c>
    </row>
    <row r="101" spans="1:1">
      <c r="A101" t="s">
        <v>148</v>
      </c>
    </row>
    <row r="102" spans="1:1">
      <c r="A102" t="s">
        <v>149</v>
      </c>
    </row>
    <row r="103" spans="1:1">
      <c r="A103" t="s">
        <v>150</v>
      </c>
    </row>
    <row r="104" spans="1:1">
      <c r="A104" t="s">
        <v>151</v>
      </c>
    </row>
    <row r="105" spans="1:1">
      <c r="A105" t="s">
        <v>152</v>
      </c>
    </row>
    <row r="106" spans="1:1">
      <c r="A106" t="s">
        <v>153</v>
      </c>
    </row>
    <row r="107" spans="1:1">
      <c r="A107" t="s">
        <v>154</v>
      </c>
    </row>
    <row r="108" spans="1:1">
      <c r="A108" t="s">
        <v>155</v>
      </c>
    </row>
    <row r="109" spans="1:1">
      <c r="A109" t="s">
        <v>156</v>
      </c>
    </row>
    <row r="110" spans="1:1">
      <c r="A110" t="s">
        <v>157</v>
      </c>
    </row>
    <row r="111" spans="1:1">
      <c r="A111" t="s">
        <v>158</v>
      </c>
    </row>
    <row r="112" spans="1:1">
      <c r="A112" t="s">
        <v>159</v>
      </c>
    </row>
    <row r="113" spans="1:1">
      <c r="A113" t="s">
        <v>160</v>
      </c>
    </row>
    <row r="114" spans="1:1">
      <c r="A114" t="s">
        <v>161</v>
      </c>
    </row>
    <row r="115" spans="1:1">
      <c r="A115" t="s">
        <v>162</v>
      </c>
    </row>
    <row r="116" spans="1:1">
      <c r="A116" t="s">
        <v>163</v>
      </c>
    </row>
    <row r="117" spans="1:1">
      <c r="A117" t="s">
        <v>164</v>
      </c>
    </row>
    <row r="118" spans="1:1">
      <c r="A118" t="s">
        <v>165</v>
      </c>
    </row>
    <row r="119" spans="1:1">
      <c r="A119" t="s">
        <v>166</v>
      </c>
    </row>
    <row r="120" spans="1:1">
      <c r="A120" t="s">
        <v>167</v>
      </c>
    </row>
    <row r="121" spans="1:1">
      <c r="A121" t="s">
        <v>168</v>
      </c>
    </row>
    <row r="122" spans="1:1">
      <c r="A122" t="s">
        <v>169</v>
      </c>
    </row>
    <row r="123" spans="1:1">
      <c r="A123" t="s">
        <v>170</v>
      </c>
    </row>
    <row r="124" spans="1:1">
      <c r="A124" t="s">
        <v>171</v>
      </c>
    </row>
    <row r="125" spans="1:1">
      <c r="A125" t="s">
        <v>172</v>
      </c>
    </row>
    <row r="126" spans="1:1">
      <c r="A126" t="s">
        <v>173</v>
      </c>
    </row>
    <row r="127" spans="1:1">
      <c r="A127" t="s">
        <v>174</v>
      </c>
    </row>
    <row r="128" spans="1:1">
      <c r="A128" t="s">
        <v>175</v>
      </c>
    </row>
    <row r="129" spans="1:1">
      <c r="A129" t="s">
        <v>176</v>
      </c>
    </row>
    <row r="130" spans="1:1">
      <c r="A130" t="s">
        <v>177</v>
      </c>
    </row>
    <row r="131" spans="1:1">
      <c r="A131" t="s">
        <v>178</v>
      </c>
    </row>
    <row r="132" spans="1:1">
      <c r="A132" t="s">
        <v>179</v>
      </c>
    </row>
    <row r="133" spans="1:1">
      <c r="A133" t="s">
        <v>180</v>
      </c>
    </row>
    <row r="134" spans="1:1">
      <c r="A134" t="s">
        <v>181</v>
      </c>
    </row>
    <row r="135" spans="1:1">
      <c r="A135" t="s">
        <v>182</v>
      </c>
    </row>
    <row r="136" spans="1:1">
      <c r="A136" t="s">
        <v>183</v>
      </c>
    </row>
    <row r="137" spans="1:1">
      <c r="A137" t="s">
        <v>184</v>
      </c>
    </row>
    <row r="138" spans="1:1">
      <c r="A138" t="s">
        <v>185</v>
      </c>
    </row>
    <row r="139" spans="1:1">
      <c r="A139" t="s">
        <v>186</v>
      </c>
    </row>
    <row r="140" spans="1:1">
      <c r="A140" t="s">
        <v>187</v>
      </c>
    </row>
    <row r="141" spans="1:1">
      <c r="A141" t="s">
        <v>188</v>
      </c>
    </row>
    <row r="142" spans="1:1">
      <c r="A142" t="s">
        <v>189</v>
      </c>
    </row>
    <row r="143" spans="1:1">
      <c r="A143" t="s">
        <v>190</v>
      </c>
    </row>
    <row r="144" spans="1:1">
      <c r="A144" t="s">
        <v>191</v>
      </c>
    </row>
    <row r="145" spans="1:1">
      <c r="A145" t="s">
        <v>192</v>
      </c>
    </row>
    <row r="146" spans="1:1">
      <c r="A146" t="s">
        <v>193</v>
      </c>
    </row>
    <row r="147" spans="1:1">
      <c r="A147" t="s">
        <v>194</v>
      </c>
    </row>
    <row r="148" spans="1:1">
      <c r="A148" t="s">
        <v>195</v>
      </c>
    </row>
    <row r="149" spans="1:1">
      <c r="A149" t="s">
        <v>196</v>
      </c>
    </row>
    <row r="150" spans="1:1">
      <c r="A150" t="s">
        <v>197</v>
      </c>
    </row>
    <row r="151" spans="1:1">
      <c r="A151" t="s">
        <v>198</v>
      </c>
    </row>
    <row r="152" spans="1:1">
      <c r="A152" t="s">
        <v>199</v>
      </c>
    </row>
    <row r="153" spans="1:1">
      <c r="A153" t="s">
        <v>200</v>
      </c>
    </row>
    <row r="154" spans="1:1">
      <c r="A154" t="s">
        <v>201</v>
      </c>
    </row>
    <row r="155" spans="1:1">
      <c r="A155" t="s">
        <v>202</v>
      </c>
    </row>
    <row r="156" spans="1:1">
      <c r="A156" t="s">
        <v>203</v>
      </c>
    </row>
    <row r="157" spans="1:1">
      <c r="A157" t="s">
        <v>204</v>
      </c>
    </row>
    <row r="158" spans="1:1">
      <c r="A158" t="s">
        <v>205</v>
      </c>
    </row>
    <row r="159" spans="1:1">
      <c r="A159" t="s">
        <v>206</v>
      </c>
    </row>
    <row r="160" spans="1:1">
      <c r="A160" t="s">
        <v>207</v>
      </c>
    </row>
    <row r="161" spans="1:1">
      <c r="A161" t="s">
        <v>208</v>
      </c>
    </row>
    <row r="162" spans="1:1">
      <c r="A162" t="s">
        <v>209</v>
      </c>
    </row>
    <row r="163" spans="1:1">
      <c r="A163" t="s">
        <v>210</v>
      </c>
    </row>
    <row r="164" spans="1:1">
      <c r="A164" t="s">
        <v>211</v>
      </c>
    </row>
    <row r="165" spans="1:1">
      <c r="A165" t="s">
        <v>212</v>
      </c>
    </row>
    <row r="166" spans="1:1">
      <c r="A166" t="s">
        <v>213</v>
      </c>
    </row>
    <row r="167" spans="1:1">
      <c r="A167" t="s">
        <v>214</v>
      </c>
    </row>
    <row r="168" spans="1:1">
      <c r="A168" t="s">
        <v>215</v>
      </c>
    </row>
    <row r="169" spans="1:1">
      <c r="A169" t="s">
        <v>216</v>
      </c>
    </row>
    <row r="170" spans="1:1">
      <c r="A170" t="s">
        <v>217</v>
      </c>
    </row>
    <row r="171" spans="1:1">
      <c r="A171" t="s">
        <v>218</v>
      </c>
    </row>
    <row r="172" spans="1:1">
      <c r="A172" t="s">
        <v>219</v>
      </c>
    </row>
    <row r="173" spans="1:1">
      <c r="A173" t="s">
        <v>220</v>
      </c>
    </row>
    <row r="174" spans="1:1">
      <c r="A174" t="s">
        <v>221</v>
      </c>
    </row>
    <row r="175" spans="1:1">
      <c r="A175" t="s">
        <v>222</v>
      </c>
    </row>
    <row r="176" spans="1:1">
      <c r="A176" t="s">
        <v>223</v>
      </c>
    </row>
    <row r="177" spans="1:1">
      <c r="A177" t="s">
        <v>224</v>
      </c>
    </row>
    <row r="178" spans="1:1">
      <c r="A178" t="s">
        <v>225</v>
      </c>
    </row>
    <row r="179" spans="1:1">
      <c r="A179" t="s">
        <v>226</v>
      </c>
    </row>
    <row r="180" spans="1:1">
      <c r="A180" t="s">
        <v>227</v>
      </c>
    </row>
    <row r="181" spans="1:1">
      <c r="A181" t="s">
        <v>228</v>
      </c>
    </row>
    <row r="182" spans="1:1">
      <c r="A182" t="s">
        <v>229</v>
      </c>
    </row>
    <row r="183" spans="1:1">
      <c r="A183" t="s">
        <v>230</v>
      </c>
    </row>
    <row r="184" spans="1:1">
      <c r="A184" t="s">
        <v>231</v>
      </c>
    </row>
    <row r="185" spans="1:1">
      <c r="A185" t="s">
        <v>232</v>
      </c>
    </row>
    <row r="186" spans="1:1">
      <c r="A186" t="s">
        <v>233</v>
      </c>
    </row>
    <row r="187" spans="1:1">
      <c r="A187" t="s">
        <v>234</v>
      </c>
    </row>
    <row r="188" spans="1:1">
      <c r="A188" t="s">
        <v>235</v>
      </c>
    </row>
    <row r="189" spans="1:1">
      <c r="A189" t="s">
        <v>236</v>
      </c>
    </row>
    <row r="190" spans="1:1">
      <c r="A190" t="s">
        <v>237</v>
      </c>
    </row>
    <row r="191" spans="1:1">
      <c r="A191" t="s">
        <v>238</v>
      </c>
    </row>
    <row r="192" spans="1:1">
      <c r="A192" t="s">
        <v>239</v>
      </c>
    </row>
    <row r="193" spans="1:1">
      <c r="A193" t="s">
        <v>240</v>
      </c>
    </row>
    <row r="194" spans="1:1">
      <c r="A194" t="s">
        <v>241</v>
      </c>
    </row>
    <row r="195" spans="1:1">
      <c r="A195" t="s">
        <v>242</v>
      </c>
    </row>
    <row r="196" spans="1:1">
      <c r="A196" t="s">
        <v>243</v>
      </c>
    </row>
    <row r="197" spans="1:1">
      <c r="A197" t="s">
        <v>244</v>
      </c>
    </row>
    <row r="198" spans="1:1">
      <c r="A198" t="s">
        <v>245</v>
      </c>
    </row>
    <row r="199" spans="1:1">
      <c r="A199" t="s">
        <v>246</v>
      </c>
    </row>
    <row r="200" spans="1:1">
      <c r="A200" t="s">
        <v>247</v>
      </c>
    </row>
    <row r="201" spans="1:1">
      <c r="A201" t="s">
        <v>248</v>
      </c>
    </row>
    <row r="202" spans="1:1">
      <c r="A202" t="s">
        <v>249</v>
      </c>
    </row>
    <row r="203" spans="1:1">
      <c r="A203" t="s">
        <v>250</v>
      </c>
    </row>
    <row r="204" spans="1:1">
      <c r="A204" t="s">
        <v>251</v>
      </c>
    </row>
    <row r="205" spans="1:1">
      <c r="A205" t="s">
        <v>252</v>
      </c>
    </row>
    <row r="206" spans="1:1">
      <c r="A206" t="s">
        <v>253</v>
      </c>
    </row>
    <row r="207" spans="1:1">
      <c r="A207" t="s">
        <v>254</v>
      </c>
    </row>
    <row r="208" spans="1:1">
      <c r="A208" t="s">
        <v>255</v>
      </c>
    </row>
    <row r="209" spans="1:1">
      <c r="A209" t="s">
        <v>256</v>
      </c>
    </row>
    <row r="210" spans="1:1">
      <c r="A210" t="s">
        <v>257</v>
      </c>
    </row>
    <row r="211" spans="1:1">
      <c r="A211" t="s">
        <v>258</v>
      </c>
    </row>
    <row r="212" spans="1:1">
      <c r="A212" t="s">
        <v>259</v>
      </c>
    </row>
    <row r="213" spans="1:1">
      <c r="A213" t="s">
        <v>260</v>
      </c>
    </row>
    <row r="214" spans="1:1">
      <c r="A214" t="s">
        <v>261</v>
      </c>
    </row>
    <row r="215" spans="1:1">
      <c r="A215" t="s">
        <v>262</v>
      </c>
    </row>
    <row r="216" spans="1:1">
      <c r="A216" t="s">
        <v>263</v>
      </c>
    </row>
    <row r="217" spans="1:1">
      <c r="A217" t="s">
        <v>264</v>
      </c>
    </row>
    <row r="218" spans="1:1">
      <c r="A218" t="s">
        <v>265</v>
      </c>
    </row>
    <row r="219" spans="1:1">
      <c r="A219" t="s">
        <v>266</v>
      </c>
    </row>
    <row r="220" spans="1:1">
      <c r="A220" t="s">
        <v>267</v>
      </c>
    </row>
    <row r="221" spans="1:1">
      <c r="A221" t="s">
        <v>268</v>
      </c>
    </row>
    <row r="222" spans="1:1">
      <c r="A222" t="s">
        <v>269</v>
      </c>
    </row>
    <row r="223" spans="1:1">
      <c r="A223" t="s">
        <v>270</v>
      </c>
    </row>
    <row r="224" spans="1:1">
      <c r="A224" t="s">
        <v>271</v>
      </c>
    </row>
    <row r="225" spans="1:1">
      <c r="A225" t="s">
        <v>272</v>
      </c>
    </row>
    <row r="226" spans="1:1">
      <c r="A226" t="s">
        <v>273</v>
      </c>
    </row>
    <row r="227" spans="1:1">
      <c r="A227" t="s">
        <v>274</v>
      </c>
    </row>
    <row r="228" spans="1:1">
      <c r="A228" t="s">
        <v>275</v>
      </c>
    </row>
    <row r="229" spans="1:1">
      <c r="A229" t="s">
        <v>276</v>
      </c>
    </row>
    <row r="230" spans="1:1">
      <c r="A230" t="s">
        <v>277</v>
      </c>
    </row>
    <row r="231" spans="1:1">
      <c r="A231" t="s">
        <v>278</v>
      </c>
    </row>
    <row r="232" spans="1:1">
      <c r="A232" t="s">
        <v>279</v>
      </c>
    </row>
    <row r="233" spans="1:1">
      <c r="A233" t="s">
        <v>280</v>
      </c>
    </row>
    <row r="234" spans="1:1">
      <c r="A234" t="s">
        <v>281</v>
      </c>
    </row>
    <row r="235" spans="1:1">
      <c r="A235" t="s">
        <v>282</v>
      </c>
    </row>
    <row r="236" spans="1:1">
      <c r="A236" t="s">
        <v>283</v>
      </c>
    </row>
    <row r="237" spans="1:1">
      <c r="A237" t="s">
        <v>284</v>
      </c>
    </row>
    <row r="238" spans="1:1">
      <c r="A238" t="s">
        <v>285</v>
      </c>
    </row>
    <row r="239" spans="1:1">
      <c r="A239" t="s">
        <v>286</v>
      </c>
    </row>
    <row r="240" spans="1:1">
      <c r="A240" t="s">
        <v>287</v>
      </c>
    </row>
    <row r="241" spans="1:1">
      <c r="A241" t="s">
        <v>288</v>
      </c>
    </row>
    <row r="242" spans="1:1">
      <c r="A242" t="s">
        <v>289</v>
      </c>
    </row>
    <row r="243" spans="1:1">
      <c r="A243" t="s">
        <v>290</v>
      </c>
    </row>
    <row r="244" spans="1:1">
      <c r="A244" t="s">
        <v>291</v>
      </c>
    </row>
    <row r="245" spans="1:1">
      <c r="A245" t="s">
        <v>292</v>
      </c>
    </row>
    <row r="246" spans="1:1">
      <c r="A246" t="s">
        <v>293</v>
      </c>
    </row>
    <row r="247" spans="1:1">
      <c r="A247" t="s">
        <v>294</v>
      </c>
    </row>
    <row r="248" spans="1:1">
      <c r="A248" t="s">
        <v>295</v>
      </c>
    </row>
    <row r="249" spans="1:1">
      <c r="A249" t="s">
        <v>296</v>
      </c>
    </row>
    <row r="250" spans="1:1">
      <c r="A250" t="s">
        <v>297</v>
      </c>
    </row>
    <row r="251" spans="1:1">
      <c r="A251" t="s">
        <v>298</v>
      </c>
    </row>
    <row r="252" spans="1:1">
      <c r="A252" t="s">
        <v>299</v>
      </c>
    </row>
    <row r="253" spans="1:1">
      <c r="A253" t="s">
        <v>300</v>
      </c>
    </row>
    <row r="254" spans="1:1">
      <c r="A254" t="s">
        <v>301</v>
      </c>
    </row>
    <row r="255" spans="1:1">
      <c r="A255" t="s">
        <v>302</v>
      </c>
    </row>
    <row r="256" spans="1:1">
      <c r="A256" t="s">
        <v>303</v>
      </c>
    </row>
    <row r="257" spans="1:1">
      <c r="A257" t="s">
        <v>304</v>
      </c>
    </row>
    <row r="258" spans="1:1">
      <c r="A258" t="s">
        <v>305</v>
      </c>
    </row>
    <row r="259" spans="1:1">
      <c r="A259" t="s">
        <v>306</v>
      </c>
    </row>
    <row r="260" spans="1:1">
      <c r="A260" t="s">
        <v>307</v>
      </c>
    </row>
    <row r="261" spans="1:1">
      <c r="A261" t="s">
        <v>308</v>
      </c>
    </row>
    <row r="262" spans="1:1">
      <c r="A262" t="s">
        <v>309</v>
      </c>
    </row>
    <row r="263" spans="1:1">
      <c r="A263" t="s">
        <v>310</v>
      </c>
    </row>
    <row r="264" spans="1:1">
      <c r="A264" t="s">
        <v>311</v>
      </c>
    </row>
    <row r="265" spans="1:1">
      <c r="A265" t="s">
        <v>312</v>
      </c>
    </row>
    <row r="266" spans="1:1">
      <c r="A266" t="s">
        <v>313</v>
      </c>
    </row>
    <row r="267" spans="1:1">
      <c r="A267" t="s">
        <v>314</v>
      </c>
    </row>
    <row r="268" spans="1:1">
      <c r="A268" t="s">
        <v>315</v>
      </c>
    </row>
    <row r="269" spans="1:1">
      <c r="A269" t="s">
        <v>316</v>
      </c>
    </row>
    <row r="270" spans="1:1">
      <c r="A270" t="s">
        <v>317</v>
      </c>
    </row>
    <row r="271" spans="1:1">
      <c r="A271" t="s">
        <v>318</v>
      </c>
    </row>
    <row r="272" spans="1:1">
      <c r="A272" t="s">
        <v>319</v>
      </c>
    </row>
    <row r="273" spans="1:1">
      <c r="A273" t="s">
        <v>320</v>
      </c>
    </row>
    <row r="274" spans="1:1">
      <c r="A274" t="s">
        <v>321</v>
      </c>
    </row>
    <row r="275" spans="1:1">
      <c r="A275" t="s">
        <v>322</v>
      </c>
    </row>
    <row r="276" spans="1:1">
      <c r="A276" t="s">
        <v>323</v>
      </c>
    </row>
    <row r="277" spans="1:1">
      <c r="A277" t="s">
        <v>324</v>
      </c>
    </row>
    <row r="278" spans="1:1">
      <c r="A278" t="s">
        <v>325</v>
      </c>
    </row>
    <row r="279" spans="1:1">
      <c r="A279" t="s">
        <v>326</v>
      </c>
    </row>
    <row r="280" spans="1:1">
      <c r="A280" t="s">
        <v>327</v>
      </c>
    </row>
    <row r="281" spans="1:1">
      <c r="A281" t="s">
        <v>328</v>
      </c>
    </row>
    <row r="282" spans="1:1">
      <c r="A282" t="s">
        <v>329</v>
      </c>
    </row>
    <row r="283" spans="1:1">
      <c r="A283" t="s">
        <v>330</v>
      </c>
    </row>
    <row r="284" spans="1:1">
      <c r="A284" t="s">
        <v>331</v>
      </c>
    </row>
    <row r="285" spans="1:1">
      <c r="A285" t="s">
        <v>332</v>
      </c>
    </row>
    <row r="286" spans="1:1">
      <c r="A286" t="s">
        <v>333</v>
      </c>
    </row>
    <row r="287" spans="1:1">
      <c r="A287" t="s">
        <v>334</v>
      </c>
    </row>
    <row r="288" spans="1:1">
      <c r="A288" t="s">
        <v>335</v>
      </c>
    </row>
    <row r="289" spans="1:1">
      <c r="A289" t="s">
        <v>336</v>
      </c>
    </row>
    <row r="290" spans="1:1">
      <c r="A290" t="s">
        <v>337</v>
      </c>
    </row>
    <row r="291" spans="1:1">
      <c r="A291" t="s">
        <v>338</v>
      </c>
    </row>
    <row r="292" spans="1:1">
      <c r="A292" t="s">
        <v>339</v>
      </c>
    </row>
    <row r="293" spans="1:1">
      <c r="A293" t="s">
        <v>340</v>
      </c>
    </row>
    <row r="294" spans="1:1">
      <c r="A294" t="s">
        <v>341</v>
      </c>
    </row>
    <row r="295" spans="1:1">
      <c r="A295" t="s">
        <v>342</v>
      </c>
    </row>
    <row r="296" spans="1:1">
      <c r="A296" t="s">
        <v>343</v>
      </c>
    </row>
    <row r="297" spans="1:1">
      <c r="A297" t="s">
        <v>344</v>
      </c>
    </row>
    <row r="298" spans="1:1">
      <c r="A298" t="s">
        <v>345</v>
      </c>
    </row>
    <row r="299" spans="1:1">
      <c r="A299" t="s">
        <v>346</v>
      </c>
    </row>
    <row r="300" spans="1:1">
      <c r="A300" t="s">
        <v>347</v>
      </c>
    </row>
    <row r="301" spans="1:1">
      <c r="A301" t="s">
        <v>348</v>
      </c>
    </row>
    <row r="302" spans="1:1">
      <c r="A302" t="s">
        <v>349</v>
      </c>
    </row>
    <row r="303" spans="1:1">
      <c r="A303" t="s">
        <v>350</v>
      </c>
    </row>
    <row r="304" spans="1:1">
      <c r="A304" t="s">
        <v>351</v>
      </c>
    </row>
    <row r="305" spans="1:1">
      <c r="A305" t="s">
        <v>352</v>
      </c>
    </row>
    <row r="306" spans="1:1">
      <c r="A306" t="s">
        <v>353</v>
      </c>
    </row>
    <row r="307" spans="1:1">
      <c r="A307" t="s">
        <v>354</v>
      </c>
    </row>
    <row r="308" spans="1:1">
      <c r="A308" t="s">
        <v>355</v>
      </c>
    </row>
    <row r="309" spans="1:1">
      <c r="A309" t="s">
        <v>356</v>
      </c>
    </row>
    <row r="310" spans="1:1">
      <c r="A310" t="s">
        <v>357</v>
      </c>
    </row>
    <row r="311" spans="1:1">
      <c r="A311" t="s">
        <v>358</v>
      </c>
    </row>
    <row r="312" spans="1:1">
      <c r="A312" t="s">
        <v>359</v>
      </c>
    </row>
    <row r="313" spans="1:1">
      <c r="A313" t="s">
        <v>360</v>
      </c>
    </row>
    <row r="314" spans="1:1">
      <c r="A314" t="s">
        <v>361</v>
      </c>
    </row>
    <row r="315" spans="1:1">
      <c r="A315" t="s">
        <v>362</v>
      </c>
    </row>
    <row r="316" spans="1:1">
      <c r="A316" t="s">
        <v>363</v>
      </c>
    </row>
    <row r="317" spans="1:1">
      <c r="A317" t="s">
        <v>364</v>
      </c>
    </row>
    <row r="318" spans="1:1">
      <c r="A318" t="s">
        <v>365</v>
      </c>
    </row>
    <row r="319" spans="1:1">
      <c r="A319" t="s">
        <v>366</v>
      </c>
    </row>
    <row r="320" spans="1:1">
      <c r="A320" t="s">
        <v>367</v>
      </c>
    </row>
    <row r="321" spans="1:1">
      <c r="A321" t="s">
        <v>368</v>
      </c>
    </row>
    <row r="322" spans="1:1">
      <c r="A322" t="s">
        <v>369</v>
      </c>
    </row>
    <row r="323" spans="1:1">
      <c r="A323" t="s">
        <v>370</v>
      </c>
    </row>
    <row r="324" spans="1:1">
      <c r="A324" t="s">
        <v>371</v>
      </c>
    </row>
    <row r="325" spans="1:1">
      <c r="A325" t="s">
        <v>372</v>
      </c>
    </row>
    <row r="326" spans="1:1">
      <c r="A326" t="s">
        <v>373</v>
      </c>
    </row>
    <row r="327" spans="1:1">
      <c r="A327" t="s">
        <v>374</v>
      </c>
    </row>
    <row r="328" spans="1:1">
      <c r="A328" t="s">
        <v>375</v>
      </c>
    </row>
    <row r="329" spans="1:1">
      <c r="A329" t="s">
        <v>376</v>
      </c>
    </row>
    <row r="330" spans="1:1">
      <c r="A330" t="s">
        <v>377</v>
      </c>
    </row>
    <row r="331" spans="1:1">
      <c r="A331" t="s">
        <v>378</v>
      </c>
    </row>
    <row r="332" spans="1:1">
      <c r="A332" t="s">
        <v>379</v>
      </c>
    </row>
    <row r="333" spans="1:1">
      <c r="A333" t="s">
        <v>380</v>
      </c>
    </row>
    <row r="334" spans="1:1">
      <c r="A334" t="s">
        <v>381</v>
      </c>
    </row>
    <row r="335" spans="1:1">
      <c r="A335" t="s">
        <v>382</v>
      </c>
    </row>
    <row r="336" spans="1:1">
      <c r="A336" t="s">
        <v>383</v>
      </c>
    </row>
    <row r="337" spans="1:1">
      <c r="A337" t="s">
        <v>384</v>
      </c>
    </row>
    <row r="338" spans="1:1">
      <c r="A338" t="s">
        <v>385</v>
      </c>
    </row>
    <row r="339" spans="1:1">
      <c r="A339" t="s">
        <v>386</v>
      </c>
    </row>
    <row r="340" spans="1:1">
      <c r="A340" t="s">
        <v>387</v>
      </c>
    </row>
    <row r="341" spans="1:1">
      <c r="A341" t="s">
        <v>388</v>
      </c>
    </row>
    <row r="342" spans="1:1">
      <c r="A342" t="s">
        <v>389</v>
      </c>
    </row>
    <row r="343" spans="1:1">
      <c r="A343" t="s">
        <v>390</v>
      </c>
    </row>
    <row r="344" spans="1:1">
      <c r="A344" t="s">
        <v>391</v>
      </c>
    </row>
    <row r="345" spans="1:1">
      <c r="A345" t="s">
        <v>392</v>
      </c>
    </row>
    <row r="346" spans="1:1">
      <c r="A346" t="s">
        <v>393</v>
      </c>
    </row>
    <row r="347" spans="1:1">
      <c r="A347" t="s">
        <v>394</v>
      </c>
    </row>
    <row r="348" spans="1:1">
      <c r="A348" t="s">
        <v>395</v>
      </c>
    </row>
    <row r="349" spans="1:1">
      <c r="A349" t="s">
        <v>396</v>
      </c>
    </row>
    <row r="350" spans="1:1">
      <c r="A350" t="s">
        <v>397</v>
      </c>
    </row>
    <row r="351" spans="1:1">
      <c r="A351" t="s">
        <v>398</v>
      </c>
    </row>
    <row r="352" spans="1:1">
      <c r="A352" t="s">
        <v>399</v>
      </c>
    </row>
    <row r="353" spans="1:1">
      <c r="A353" t="s">
        <v>400</v>
      </c>
    </row>
    <row r="354" spans="1:1">
      <c r="A354" t="s">
        <v>401</v>
      </c>
    </row>
    <row r="355" spans="1:1">
      <c r="A355" t="s">
        <v>402</v>
      </c>
    </row>
    <row r="356" spans="1:1">
      <c r="A356" t="s">
        <v>403</v>
      </c>
    </row>
    <row r="357" spans="1:1">
      <c r="A357" t="s">
        <v>404</v>
      </c>
    </row>
    <row r="358" spans="1:1">
      <c r="A358" t="s">
        <v>405</v>
      </c>
    </row>
    <row r="359" spans="1:1">
      <c r="A359" t="s">
        <v>406</v>
      </c>
    </row>
    <row r="360" spans="1:1">
      <c r="A360" t="s">
        <v>407</v>
      </c>
    </row>
    <row r="361" spans="1:1">
      <c r="A361" t="s">
        <v>408</v>
      </c>
    </row>
    <row r="362" spans="1:1">
      <c r="A362" t="s">
        <v>409</v>
      </c>
    </row>
    <row r="363" spans="1:1">
      <c r="A363" t="s">
        <v>410</v>
      </c>
    </row>
    <row r="364" spans="1:1">
      <c r="A364" t="s">
        <v>411</v>
      </c>
    </row>
    <row r="365" spans="1:1">
      <c r="A365" t="s">
        <v>412</v>
      </c>
    </row>
    <row r="366" spans="1:1">
      <c r="A366" t="s">
        <v>413</v>
      </c>
    </row>
    <row r="367" spans="1:1">
      <c r="A367" t="s">
        <v>414</v>
      </c>
    </row>
    <row r="368" spans="1:1">
      <c r="A368" t="s">
        <v>415</v>
      </c>
    </row>
    <row r="369" spans="1:1">
      <c r="A369" t="s">
        <v>416</v>
      </c>
    </row>
    <row r="370" spans="1:1">
      <c r="A370" t="s">
        <v>417</v>
      </c>
    </row>
    <row r="371" spans="1:1">
      <c r="A371" t="s">
        <v>418</v>
      </c>
    </row>
    <row r="372" spans="1:1">
      <c r="A372" t="s">
        <v>419</v>
      </c>
    </row>
    <row r="373" spans="1:1">
      <c r="A373" t="s">
        <v>420</v>
      </c>
    </row>
    <row r="374" spans="1:1">
      <c r="A374" t="s">
        <v>421</v>
      </c>
    </row>
    <row r="375" spans="1:1">
      <c r="A375" t="s">
        <v>422</v>
      </c>
    </row>
    <row r="376" spans="1:1">
      <c r="A376" t="s">
        <v>423</v>
      </c>
    </row>
    <row r="377" spans="1:1">
      <c r="A377" t="s">
        <v>424</v>
      </c>
    </row>
    <row r="378" spans="1:1">
      <c r="A378" t="s">
        <v>425</v>
      </c>
    </row>
    <row r="379" spans="1:1">
      <c r="A379" t="s">
        <v>426</v>
      </c>
    </row>
    <row r="380" spans="1:1">
      <c r="A380" t="s">
        <v>427</v>
      </c>
    </row>
    <row r="381" spans="1:1">
      <c r="A381" t="s">
        <v>428</v>
      </c>
    </row>
    <row r="382" spans="1:1">
      <c r="A382" t="s">
        <v>429</v>
      </c>
    </row>
    <row r="383" spans="1:1">
      <c r="A383" t="s">
        <v>430</v>
      </c>
    </row>
    <row r="384" spans="1:1">
      <c r="A384" t="s">
        <v>431</v>
      </c>
    </row>
    <row r="385" spans="1:1">
      <c r="A385" t="s">
        <v>432</v>
      </c>
    </row>
    <row r="386" spans="1:1">
      <c r="A386" t="s">
        <v>433</v>
      </c>
    </row>
    <row r="387" spans="1:1">
      <c r="A387" t="s">
        <v>434</v>
      </c>
    </row>
    <row r="388" spans="1:1">
      <c r="A388" t="s">
        <v>435</v>
      </c>
    </row>
    <row r="389" spans="1:1">
      <c r="A389" t="s">
        <v>436</v>
      </c>
    </row>
    <row r="390" spans="1:1">
      <c r="A390" t="s">
        <v>437</v>
      </c>
    </row>
    <row r="391" spans="1:1">
      <c r="A391" t="s">
        <v>438</v>
      </c>
    </row>
    <row r="392" spans="1:1">
      <c r="A392" t="s">
        <v>439</v>
      </c>
    </row>
    <row r="393" spans="1:1">
      <c r="A393" t="s">
        <v>440</v>
      </c>
    </row>
    <row r="394" spans="1:1">
      <c r="A394" t="s">
        <v>441</v>
      </c>
    </row>
    <row r="395" spans="1:1">
      <c r="A395" t="s">
        <v>442</v>
      </c>
    </row>
    <row r="396" spans="1:1">
      <c r="A396" t="s">
        <v>443</v>
      </c>
    </row>
    <row r="397" spans="1:1">
      <c r="A397" t="s">
        <v>444</v>
      </c>
    </row>
    <row r="398" spans="1:1">
      <c r="A398" t="s">
        <v>445</v>
      </c>
    </row>
    <row r="399" spans="1:1">
      <c r="A399" t="s">
        <v>446</v>
      </c>
    </row>
    <row r="400" spans="1:1">
      <c r="A400" t="s">
        <v>447</v>
      </c>
    </row>
    <row r="401" spans="1:1">
      <c r="A401" t="s">
        <v>448</v>
      </c>
    </row>
    <row r="402" spans="1:1">
      <c r="A402" t="s">
        <v>449</v>
      </c>
    </row>
    <row r="403" spans="1:1">
      <c r="A403" t="s">
        <v>450</v>
      </c>
    </row>
    <row r="404" spans="1:1">
      <c r="A404" t="s">
        <v>451</v>
      </c>
    </row>
    <row r="405" spans="1:1">
      <c r="A405" t="s">
        <v>452</v>
      </c>
    </row>
    <row r="406" spans="1:1">
      <c r="A406" t="s">
        <v>453</v>
      </c>
    </row>
    <row r="407" spans="1:1">
      <c r="A407" t="s">
        <v>454</v>
      </c>
    </row>
    <row r="408" spans="1:1">
      <c r="A408" t="s">
        <v>455</v>
      </c>
    </row>
    <row r="409" spans="1:1">
      <c r="A409" t="s">
        <v>456</v>
      </c>
    </row>
    <row r="410" spans="1:1">
      <c r="A410" t="s">
        <v>457</v>
      </c>
    </row>
    <row r="411" spans="1:1">
      <c r="A411" t="s">
        <v>458</v>
      </c>
    </row>
    <row r="412" spans="1:1">
      <c r="A412" t="s">
        <v>459</v>
      </c>
    </row>
    <row r="413" spans="1:1">
      <c r="A413" t="s">
        <v>460</v>
      </c>
    </row>
    <row r="414" spans="1:1">
      <c r="A414" t="s">
        <v>461</v>
      </c>
    </row>
    <row r="415" spans="1:1">
      <c r="A415" t="s">
        <v>462</v>
      </c>
    </row>
    <row r="416" spans="1:1">
      <c r="A416" t="s">
        <v>463</v>
      </c>
    </row>
    <row r="417" spans="1:1">
      <c r="A417" t="s">
        <v>464</v>
      </c>
    </row>
    <row r="418" spans="1:1">
      <c r="A418" t="s">
        <v>465</v>
      </c>
    </row>
    <row r="419" spans="1:1">
      <c r="A419" t="s">
        <v>466</v>
      </c>
    </row>
    <row r="420" spans="1:1">
      <c r="A420" t="s">
        <v>467</v>
      </c>
    </row>
    <row r="421" spans="1:1">
      <c r="A421" t="s">
        <v>468</v>
      </c>
    </row>
    <row r="422" spans="1:1">
      <c r="A422" t="s">
        <v>469</v>
      </c>
    </row>
    <row r="423" spans="1:1">
      <c r="A423" t="s">
        <v>470</v>
      </c>
    </row>
    <row r="424" spans="1:1">
      <c r="A424" t="s">
        <v>471</v>
      </c>
    </row>
    <row r="425" spans="1:1">
      <c r="A425" t="s">
        <v>472</v>
      </c>
    </row>
    <row r="426" spans="1:1">
      <c r="A426" t="s">
        <v>473</v>
      </c>
    </row>
    <row r="427" spans="1:1">
      <c r="A427" t="s">
        <v>474</v>
      </c>
    </row>
    <row r="428" spans="1:1">
      <c r="A428" t="s">
        <v>475</v>
      </c>
    </row>
    <row r="429" spans="1:1">
      <c r="A429" t="s">
        <v>476</v>
      </c>
    </row>
    <row r="430" spans="1:1">
      <c r="A430" t="s">
        <v>477</v>
      </c>
    </row>
    <row r="431" spans="1:1">
      <c r="A431" t="s">
        <v>478</v>
      </c>
    </row>
    <row r="432" spans="1:1">
      <c r="A432" t="s">
        <v>479</v>
      </c>
    </row>
    <row r="433" spans="1:1">
      <c r="A433" t="s">
        <v>480</v>
      </c>
    </row>
    <row r="434" spans="1:1">
      <c r="A434" t="s">
        <v>481</v>
      </c>
    </row>
    <row r="435" spans="1:1">
      <c r="A435" t="s">
        <v>482</v>
      </c>
    </row>
    <row r="436" spans="1:1">
      <c r="A436" t="s">
        <v>483</v>
      </c>
    </row>
    <row r="437" spans="1:1">
      <c r="A437" t="s">
        <v>484</v>
      </c>
    </row>
    <row r="438" spans="1:1">
      <c r="A438" t="s">
        <v>485</v>
      </c>
    </row>
    <row r="439" spans="1:1">
      <c r="A439" t="s">
        <v>486</v>
      </c>
    </row>
    <row r="440" spans="1:1">
      <c r="A440" t="s">
        <v>487</v>
      </c>
    </row>
    <row r="441" spans="1:1">
      <c r="A441" t="s">
        <v>488</v>
      </c>
    </row>
    <row r="442" spans="1:1">
      <c r="A442" t="s">
        <v>489</v>
      </c>
    </row>
    <row r="443" spans="1:1">
      <c r="A443" t="s">
        <v>490</v>
      </c>
    </row>
    <row r="444" spans="1:1">
      <c r="A444" t="s">
        <v>491</v>
      </c>
    </row>
    <row r="445" spans="1:1">
      <c r="A445" t="s">
        <v>492</v>
      </c>
    </row>
    <row r="446" spans="1:1">
      <c r="A446" t="s">
        <v>493</v>
      </c>
    </row>
    <row r="447" spans="1:1">
      <c r="A447" t="s">
        <v>494</v>
      </c>
    </row>
    <row r="448" spans="1:1">
      <c r="A448" t="s">
        <v>495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4"/>
  <sheetViews>
    <sheetView workbookViewId="0">
      <pane xSplit="2" ySplit="2" topLeftCell="C3" activePane="bottomRight" state="frozen"/>
      <selection pane="bottomRight" activeCell="B32" sqref="B32"/>
      <selection pane="bottomLeft" activeCell="A3" sqref="A3"/>
      <selection pane="topRight" activeCell="C1" sqref="C1"/>
    </sheetView>
  </sheetViews>
  <sheetFormatPr defaultRowHeight="14.45"/>
  <cols>
    <col min="1" max="1" width="10" bestFit="1" customWidth="1"/>
    <col min="2" max="2" width="71.7109375" bestFit="1" customWidth="1"/>
    <col min="3" max="3" width="83.85546875" bestFit="1" customWidth="1"/>
    <col min="4" max="4" width="17.28515625" bestFit="1" customWidth="1"/>
    <col min="5" max="5" width="12.28515625" bestFit="1" customWidth="1"/>
    <col min="6" max="6" width="9.7109375" bestFit="1" customWidth="1"/>
    <col min="7" max="8" width="21" bestFit="1" customWidth="1"/>
    <col min="9" max="9" width="16.5703125" style="59" bestFit="1" customWidth="1"/>
    <col min="10" max="11" width="16.7109375" style="59" bestFit="1" customWidth="1"/>
    <col min="12" max="13" width="11.140625" bestFit="1" customWidth="1"/>
    <col min="14" max="14" width="11.5703125" bestFit="1" customWidth="1"/>
    <col min="15" max="15" width="11.140625" bestFit="1" customWidth="1"/>
    <col min="16" max="16" width="10.85546875" bestFit="1" customWidth="1"/>
    <col min="17" max="17" width="7" bestFit="1" customWidth="1"/>
  </cols>
  <sheetData>
    <row r="1" spans="1:17">
      <c r="C1" t="s">
        <v>496</v>
      </c>
      <c r="D1" t="s">
        <v>497</v>
      </c>
      <c r="E1" t="s">
        <v>498</v>
      </c>
      <c r="F1" t="s">
        <v>499</v>
      </c>
      <c r="G1" t="s">
        <v>500</v>
      </c>
      <c r="H1" t="s">
        <v>501</v>
      </c>
      <c r="I1" s="59" t="s">
        <v>502</v>
      </c>
      <c r="J1" s="59" t="s">
        <v>503</v>
      </c>
      <c r="K1" s="59" t="s">
        <v>504</v>
      </c>
      <c r="L1" t="s">
        <v>505</v>
      </c>
      <c r="M1" t="s">
        <v>506</v>
      </c>
      <c r="N1" t="s">
        <v>507</v>
      </c>
      <c r="O1" t="s">
        <v>508</v>
      </c>
      <c r="P1" t="s">
        <v>509</v>
      </c>
    </row>
    <row r="2" spans="1:17">
      <c r="A2" t="s">
        <v>510</v>
      </c>
      <c r="B2" t="s">
        <v>511</v>
      </c>
      <c r="C2" t="s">
        <v>512</v>
      </c>
      <c r="D2" t="s">
        <v>513</v>
      </c>
      <c r="E2" t="s">
        <v>514</v>
      </c>
      <c r="F2" t="s">
        <v>515</v>
      </c>
      <c r="G2" t="s">
        <v>516</v>
      </c>
      <c r="H2" t="s">
        <v>517</v>
      </c>
      <c r="I2" s="59" t="s">
        <v>518</v>
      </c>
      <c r="J2" s="59" t="s">
        <v>519</v>
      </c>
      <c r="K2" s="59" t="s">
        <v>520</v>
      </c>
      <c r="L2" t="s">
        <v>521</v>
      </c>
      <c r="M2" t="s">
        <v>522</v>
      </c>
      <c r="N2" t="s">
        <v>523</v>
      </c>
      <c r="O2" t="s">
        <v>524</v>
      </c>
      <c r="P2" t="s">
        <v>525</v>
      </c>
    </row>
    <row r="3" spans="1:17">
      <c r="A3" t="s">
        <v>526</v>
      </c>
      <c r="B3" t="s">
        <v>527</v>
      </c>
      <c r="C3" t="str">
        <f>VLOOKUP(A3,Districts!A:I,9,FALSE)</f>
        <v>A+ Charter Schools</v>
      </c>
      <c r="D3" t="str">
        <f>VLOOKUP(A3,Districts!A:P,16,FALSE)</f>
        <v>JCEKF2JBLAV6</v>
      </c>
      <c r="E3" t="s">
        <v>528</v>
      </c>
      <c r="F3" s="1">
        <v>45200</v>
      </c>
      <c r="G3" t="s">
        <v>529</v>
      </c>
      <c r="H3" t="s">
        <v>530</v>
      </c>
      <c r="I3" s="59">
        <f>VLOOKUP(A3,'611'!D:F,3,FALSE)</f>
        <v>41453.99</v>
      </c>
      <c r="J3" s="59">
        <f>VLOOKUP(A3,'611'!D:Q,14,FALSE)</f>
        <v>41453.99</v>
      </c>
      <c r="K3" s="59">
        <f>VLOOKUP(A3,'611'!D:Q,14,FALSE)</f>
        <v>41453.99</v>
      </c>
      <c r="O3" t="s">
        <v>531</v>
      </c>
      <c r="P3">
        <f>_xlfn.IFNA(VLOOKUP(A3,IndirectCost!B:L,11,FALSE),"")</f>
        <v>0</v>
      </c>
      <c r="Q3">
        <f>IFERROR(P3/100,0)</f>
        <v>0</v>
      </c>
    </row>
    <row r="4" spans="1:17">
      <c r="A4" t="s">
        <v>49</v>
      </c>
      <c r="B4" t="s">
        <v>532</v>
      </c>
      <c r="C4" t="str">
        <f>VLOOKUP(A4,Districts!A:I,9,FALSE)</f>
        <v>Academy Del Sol</v>
      </c>
      <c r="D4" t="str">
        <f>VLOOKUP(A4,Districts!A:P,16,FALSE)</f>
        <v>QZLJBKBC2J66</v>
      </c>
      <c r="E4" t="s">
        <v>528</v>
      </c>
      <c r="F4" s="1">
        <v>45200</v>
      </c>
      <c r="G4" t="s">
        <v>529</v>
      </c>
      <c r="H4" t="s">
        <v>530</v>
      </c>
      <c r="I4" s="59">
        <f>VLOOKUP(A4,'611'!D:F,3,FALSE)</f>
        <v>114449.36</v>
      </c>
      <c r="J4" s="59">
        <f>VLOOKUP(A4,'611'!D:Q,14,FALSE)</f>
        <v>114449.36</v>
      </c>
      <c r="K4" s="59">
        <f>VLOOKUP(A4,'611'!D:Q,14,FALSE)</f>
        <v>114449.36</v>
      </c>
      <c r="O4" t="s">
        <v>531</v>
      </c>
      <c r="P4" t="str">
        <f>_xlfn.IFNA(VLOOKUP(A4,IndirectCost!B:L,11,FALSE),"")</f>
        <v/>
      </c>
      <c r="Q4">
        <f t="shared" ref="Q4:Q67" si="0">IFERROR(P4/100,0)</f>
        <v>0</v>
      </c>
    </row>
    <row r="5" spans="1:17">
      <c r="A5" t="s">
        <v>533</v>
      </c>
      <c r="B5" t="s">
        <v>534</v>
      </c>
      <c r="C5" t="str">
        <f>VLOOKUP(A5,Districts!A:I,9,FALSE)</f>
        <v>Academy of Building Industries</v>
      </c>
      <c r="D5" t="str">
        <f>VLOOKUP(A5,Districts!A:P,16,FALSE)</f>
        <v>K13KLGNX74T6</v>
      </c>
      <c r="E5" t="s">
        <v>528</v>
      </c>
      <c r="F5" s="1">
        <v>45200</v>
      </c>
      <c r="G5" t="s">
        <v>529</v>
      </c>
      <c r="H5" t="s">
        <v>530</v>
      </c>
      <c r="I5" s="59">
        <f>VLOOKUP(A5,'611'!D:F,3,FALSE)</f>
        <v>20657.63</v>
      </c>
      <c r="J5" s="59">
        <f>VLOOKUP(A5,'611'!D:Q,14,FALSE)</f>
        <v>20657.63</v>
      </c>
      <c r="K5" s="59">
        <f>VLOOKUP(A5,'611'!D:Q,14,FALSE)</f>
        <v>20657.63</v>
      </c>
      <c r="O5" t="s">
        <v>531</v>
      </c>
      <c r="P5" t="str">
        <f>_xlfn.IFNA(VLOOKUP(A5,IndirectCost!B:L,11,FALSE),"")</f>
        <v/>
      </c>
      <c r="Q5">
        <f t="shared" si="0"/>
        <v>0</v>
      </c>
    </row>
    <row r="6" spans="1:17">
      <c r="A6" t="s">
        <v>50</v>
      </c>
      <c r="B6" t="s">
        <v>535</v>
      </c>
      <c r="C6" t="str">
        <f>VLOOKUP(A6,Districts!A:I,9,FALSE)</f>
        <v>Academy of Mathematics and Science South, Inc</v>
      </c>
      <c r="D6" t="str">
        <f>VLOOKUP(A6,Districts!A:P,16,FALSE)</f>
        <v>M1QLC99MALS9</v>
      </c>
      <c r="E6" t="s">
        <v>528</v>
      </c>
      <c r="F6" s="1">
        <v>45200</v>
      </c>
      <c r="G6" t="s">
        <v>529</v>
      </c>
      <c r="H6" t="s">
        <v>530</v>
      </c>
      <c r="I6" s="59">
        <f>VLOOKUP(A6,'611'!D:F,3,FALSE)</f>
        <v>1072575.1599999999</v>
      </c>
      <c r="J6" s="59">
        <f>VLOOKUP(A6,'611'!D:Q,14,FALSE)</f>
        <v>1072575.1599999999</v>
      </c>
      <c r="K6" s="59">
        <f>VLOOKUP(A6,'611'!D:Q,14,FALSE)</f>
        <v>1072575.1599999999</v>
      </c>
      <c r="O6" t="s">
        <v>531</v>
      </c>
      <c r="P6" t="str">
        <f>_xlfn.IFNA(VLOOKUP(A6,IndirectCost!B:L,11,FALSE),"")</f>
        <v/>
      </c>
      <c r="Q6">
        <f t="shared" si="0"/>
        <v>0</v>
      </c>
    </row>
    <row r="7" spans="1:17">
      <c r="A7" t="s">
        <v>52</v>
      </c>
      <c r="B7" t="s">
        <v>536</v>
      </c>
      <c r="C7" t="str">
        <f>VLOOKUP(A7,Districts!A:I,9,FALSE)</f>
        <v>ACADEMY OF MATH &amp; SCIENCE INC</v>
      </c>
      <c r="D7" t="str">
        <f>VLOOKUP(A7,Districts!A:P,16,FALSE)</f>
        <v>KRC5GNVNRTM6</v>
      </c>
      <c r="E7" t="s">
        <v>528</v>
      </c>
      <c r="F7" s="1">
        <v>45200</v>
      </c>
      <c r="G7" t="s">
        <v>529</v>
      </c>
      <c r="H7" t="s">
        <v>530</v>
      </c>
      <c r="I7" s="59">
        <f>VLOOKUP(A7,'611'!D:F,3,FALSE)</f>
        <v>131875.73000000001</v>
      </c>
      <c r="J7" s="59">
        <f>VLOOKUP(A7,'611'!D:Q,14,FALSE)</f>
        <v>133398.53</v>
      </c>
      <c r="K7" s="59">
        <f>VLOOKUP(A7,'611'!D:Q,14,FALSE)</f>
        <v>133398.53</v>
      </c>
      <c r="O7" t="s">
        <v>531</v>
      </c>
      <c r="P7" t="str">
        <f>_xlfn.IFNA(VLOOKUP(A7,IndirectCost!B:L,11,FALSE),"")</f>
        <v/>
      </c>
      <c r="Q7">
        <f t="shared" si="0"/>
        <v>0</v>
      </c>
    </row>
    <row r="8" spans="1:17">
      <c r="A8" t="s">
        <v>51</v>
      </c>
      <c r="B8" t="s">
        <v>536</v>
      </c>
      <c r="C8" t="str">
        <f>VLOOKUP(A8,Districts!A:I,9,FALSE)</f>
        <v>ACADEMY OF MATH &amp; SCIENCE INC</v>
      </c>
      <c r="D8" t="str">
        <f>VLOOKUP(A8,Districts!A:P,16,FALSE)</f>
        <v>KRC5GNVNRTM6</v>
      </c>
      <c r="E8" t="s">
        <v>528</v>
      </c>
      <c r="F8" s="1">
        <v>45200</v>
      </c>
      <c r="G8" t="s">
        <v>529</v>
      </c>
      <c r="H8" t="s">
        <v>530</v>
      </c>
      <c r="I8" s="59">
        <f>VLOOKUP(A8,'611'!D:F,3,FALSE)</f>
        <v>186817.11</v>
      </c>
      <c r="J8" s="59">
        <f>VLOOKUP(A8,'611'!D:Q,14,FALSE)</f>
        <v>186817.11</v>
      </c>
      <c r="K8" s="59">
        <f>VLOOKUP(A8,'611'!D:Q,14,FALSE)</f>
        <v>186817.11</v>
      </c>
      <c r="O8" t="s">
        <v>531</v>
      </c>
      <c r="P8" t="str">
        <f>_xlfn.IFNA(VLOOKUP(A8,IndirectCost!B:L,11,FALSE),"")</f>
        <v/>
      </c>
      <c r="Q8">
        <f t="shared" si="0"/>
        <v>0</v>
      </c>
    </row>
    <row r="9" spans="1:17">
      <c r="A9" t="s">
        <v>53</v>
      </c>
      <c r="B9" t="s">
        <v>537</v>
      </c>
      <c r="C9" t="str">
        <f>VLOOKUP(A9,Districts!A:I,9,FALSE)</f>
        <v>Academy of Tucson, Inc.</v>
      </c>
      <c r="D9" t="str">
        <f>VLOOKUP(A9,Districts!A:P,16,FALSE)</f>
        <v>CJBNXNM4KB69</v>
      </c>
      <c r="E9" t="s">
        <v>528</v>
      </c>
      <c r="F9" s="1">
        <v>45200</v>
      </c>
      <c r="G9" t="s">
        <v>529</v>
      </c>
      <c r="H9" t="s">
        <v>530</v>
      </c>
      <c r="I9" s="59">
        <f>VLOOKUP(A9,'611'!D:F,3,FALSE)</f>
        <v>78811.94</v>
      </c>
      <c r="J9" s="59">
        <f>VLOOKUP(A9,'611'!D:Q,14,FALSE)</f>
        <v>78811.94</v>
      </c>
      <c r="K9" s="59">
        <f>VLOOKUP(A9,'611'!D:Q,14,FALSE)</f>
        <v>78811.94</v>
      </c>
      <c r="O9" t="s">
        <v>531</v>
      </c>
      <c r="P9" t="str">
        <f>_xlfn.IFNA(VLOOKUP(A9,IndirectCost!B:L,11,FALSE),"")</f>
        <v/>
      </c>
      <c r="Q9">
        <f t="shared" si="0"/>
        <v>0</v>
      </c>
    </row>
    <row r="10" spans="1:17">
      <c r="A10" t="s">
        <v>538</v>
      </c>
      <c r="B10" t="s">
        <v>539</v>
      </c>
      <c r="C10" t="str">
        <f>VLOOKUP(A10,Districts!A:I,9,FALSE)</f>
        <v>Academy with Community Partners - Arizona, inc.</v>
      </c>
      <c r="D10" t="str">
        <f>VLOOKUP(A10,Districts!A:P,16,FALSE)</f>
        <v>LEKMN9VU1ZH3</v>
      </c>
      <c r="E10" t="s">
        <v>528</v>
      </c>
      <c r="F10" s="1">
        <v>45200</v>
      </c>
      <c r="G10" t="s">
        <v>529</v>
      </c>
      <c r="H10" t="s">
        <v>530</v>
      </c>
      <c r="I10" s="59">
        <f>VLOOKUP(A10,'611'!D:F,3,FALSE)</f>
        <v>31798.05</v>
      </c>
      <c r="J10" s="59">
        <f>VLOOKUP(A10,'611'!D:Q,14,FALSE)</f>
        <v>31798.05</v>
      </c>
      <c r="K10" s="59">
        <f>VLOOKUP(A10,'611'!D:Q,14,FALSE)</f>
        <v>31798.05</v>
      </c>
      <c r="O10" t="s">
        <v>531</v>
      </c>
      <c r="P10" t="str">
        <f>_xlfn.IFNA(VLOOKUP(A10,IndirectCost!B:L,11,FALSE),"")</f>
        <v/>
      </c>
      <c r="Q10">
        <f t="shared" si="0"/>
        <v>0</v>
      </c>
    </row>
    <row r="11" spans="1:17">
      <c r="A11" t="s">
        <v>54</v>
      </c>
      <c r="B11" t="s">
        <v>540</v>
      </c>
      <c r="C11" t="str">
        <f>VLOOKUP(A11,Districts!A:I,9,FALSE)</f>
        <v>ACCLAIM Charter School</v>
      </c>
      <c r="D11" t="str">
        <f>VLOOKUP(A11,Districts!A:P,16,FALSE)</f>
        <v>KFMNY4EPWN86</v>
      </c>
      <c r="E11" t="s">
        <v>528</v>
      </c>
      <c r="F11" s="1">
        <v>45200</v>
      </c>
      <c r="G11" t="s">
        <v>529</v>
      </c>
      <c r="H11" t="s">
        <v>530</v>
      </c>
      <c r="I11" s="59">
        <f>VLOOKUP(A11,'611'!D:F,3,FALSE)</f>
        <v>52583.26</v>
      </c>
      <c r="J11" s="59">
        <f>VLOOKUP(A11,'611'!D:Q,14,FALSE)</f>
        <v>56547.86</v>
      </c>
      <c r="K11" s="59">
        <f>VLOOKUP(A11,'611'!D:Q,14,FALSE)</f>
        <v>56547.86</v>
      </c>
      <c r="O11" t="s">
        <v>531</v>
      </c>
      <c r="P11">
        <f>_xlfn.IFNA(VLOOKUP(A11,IndirectCost!B:L,11,FALSE),"")</f>
        <v>8</v>
      </c>
      <c r="Q11">
        <f t="shared" si="0"/>
        <v>0.08</v>
      </c>
    </row>
    <row r="12" spans="1:17">
      <c r="A12" t="s">
        <v>55</v>
      </c>
      <c r="B12" t="s">
        <v>541</v>
      </c>
      <c r="C12" t="str">
        <f>VLOOKUP(A12,Districts!A:I,9,FALSE)</f>
        <v>Acorn Montessori Charter School</v>
      </c>
      <c r="D12" t="str">
        <f>VLOOKUP(A12,Districts!A:P,16,FALSE)</f>
        <v>UT9HNKTD3735</v>
      </c>
      <c r="E12" t="s">
        <v>528</v>
      </c>
      <c r="F12" s="1">
        <v>45200</v>
      </c>
      <c r="G12" t="s">
        <v>529</v>
      </c>
      <c r="H12" t="s">
        <v>530</v>
      </c>
      <c r="I12" s="59">
        <f>VLOOKUP(A12,'611'!D:F,3,FALSE)</f>
        <v>89454.27</v>
      </c>
      <c r="J12" s="59">
        <f>VLOOKUP(A12,'611'!D:Q,14,FALSE)</f>
        <v>89454.27</v>
      </c>
      <c r="K12" s="59">
        <f>VLOOKUP(A12,'611'!D:Q,14,FALSE)</f>
        <v>89454.27</v>
      </c>
      <c r="O12" t="s">
        <v>531</v>
      </c>
      <c r="P12" t="str">
        <f>_xlfn.IFNA(VLOOKUP(A12,IndirectCost!B:L,11,FALSE),"")</f>
        <v/>
      </c>
      <c r="Q12">
        <f t="shared" si="0"/>
        <v>0</v>
      </c>
    </row>
    <row r="13" spans="1:17">
      <c r="A13" t="s">
        <v>542</v>
      </c>
      <c r="B13" t="s">
        <v>543</v>
      </c>
      <c r="C13" t="str">
        <f>VLOOKUP(A13,Districts!A:I,9,FALSE)</f>
        <v>Agua Fria Union High School District #216</v>
      </c>
      <c r="D13" t="str">
        <f>VLOOKUP(A13,Districts!A:P,16,FALSE)</f>
        <v>YLDQMJK9YMM8</v>
      </c>
      <c r="E13" t="s">
        <v>528</v>
      </c>
      <c r="F13" s="1">
        <v>45200</v>
      </c>
      <c r="G13" t="s">
        <v>529</v>
      </c>
      <c r="H13" t="s">
        <v>530</v>
      </c>
      <c r="I13" s="59">
        <f>VLOOKUP(A13,'611'!D:F,3,FALSE)</f>
        <v>1578205.36</v>
      </c>
      <c r="J13" s="59">
        <f>VLOOKUP(A13,'611'!D:Q,14,FALSE)</f>
        <v>2263157.67</v>
      </c>
      <c r="K13" s="59">
        <f>VLOOKUP(A13,'611'!D:Q,14,FALSE)</f>
        <v>2263157.67</v>
      </c>
      <c r="O13" t="s">
        <v>531</v>
      </c>
      <c r="P13">
        <f>_xlfn.IFNA(VLOOKUP(A13,IndirectCost!B:L,11,FALSE),"")</f>
        <v>4.8099999999999996</v>
      </c>
      <c r="Q13">
        <f t="shared" si="0"/>
        <v>4.8099999999999997E-2</v>
      </c>
    </row>
    <row r="14" spans="1:17">
      <c r="A14" t="s">
        <v>56</v>
      </c>
      <c r="B14" t="s">
        <v>544</v>
      </c>
      <c r="C14" t="str">
        <f>VLOOKUP(A14,Districts!A:I,9,FALSE)</f>
        <v>Aguila School District 63</v>
      </c>
      <c r="D14" t="str">
        <f>VLOOKUP(A14,Districts!A:P,16,FALSE)</f>
        <v>SFT7AZ7PHHZ8</v>
      </c>
      <c r="E14" t="s">
        <v>528</v>
      </c>
      <c r="F14" s="1">
        <v>45200</v>
      </c>
      <c r="G14" t="s">
        <v>529</v>
      </c>
      <c r="H14" t="s">
        <v>530</v>
      </c>
      <c r="I14" s="59">
        <f>VLOOKUP(A14,'611'!D:F,3,FALSE)</f>
        <v>40926.839999999997</v>
      </c>
      <c r="J14" s="59">
        <f>VLOOKUP(A14,'611'!D:Q,14,FALSE)</f>
        <v>62284.78</v>
      </c>
      <c r="K14" s="59">
        <f>VLOOKUP(A14,'611'!D:Q,14,FALSE)</f>
        <v>62284.78</v>
      </c>
      <c r="O14" t="s">
        <v>531</v>
      </c>
      <c r="P14" t="str">
        <f>_xlfn.IFNA(VLOOKUP(A14,IndirectCost!B:L,11,FALSE),"")</f>
        <v/>
      </c>
      <c r="Q14">
        <f t="shared" si="0"/>
        <v>0</v>
      </c>
    </row>
    <row r="15" spans="1:17">
      <c r="A15" t="s">
        <v>545</v>
      </c>
      <c r="B15" t="s">
        <v>546</v>
      </c>
      <c r="C15" t="str">
        <f>VLOOKUP(A15,Districts!A:I,9,FALSE)</f>
        <v>AIBT Non-Profit Charter High School, Inc.</v>
      </c>
      <c r="D15" t="str">
        <f>VLOOKUP(A15,Districts!A:P,16,FALSE)</f>
        <v>TU9UE3FKPLW8</v>
      </c>
      <c r="E15" t="s">
        <v>528</v>
      </c>
      <c r="F15" s="1">
        <v>45200</v>
      </c>
      <c r="G15" t="s">
        <v>529</v>
      </c>
      <c r="H15" t="s">
        <v>530</v>
      </c>
      <c r="I15" s="59">
        <f>VLOOKUP(A15,'611'!D:F,3,FALSE)</f>
        <v>12200.91</v>
      </c>
      <c r="J15" s="59">
        <f>VLOOKUP(A15,'611'!D:Q,14,FALSE)</f>
        <v>12300.91</v>
      </c>
      <c r="K15" s="59">
        <f>VLOOKUP(A15,'611'!D:Q,14,FALSE)</f>
        <v>12300.91</v>
      </c>
      <c r="O15" t="s">
        <v>531</v>
      </c>
      <c r="P15">
        <f>_xlfn.IFNA(VLOOKUP(A15,IndirectCost!B:L,11,FALSE),"")</f>
        <v>8</v>
      </c>
      <c r="Q15">
        <f t="shared" si="0"/>
        <v>0.08</v>
      </c>
    </row>
    <row r="16" spans="1:17">
      <c r="A16" t="s">
        <v>547</v>
      </c>
      <c r="B16" t="s">
        <v>548</v>
      </c>
      <c r="C16" t="str">
        <f>VLOOKUP(A16,Districts!A:I,9,FALSE)</f>
        <v>AIBT Non-Profit Charter High School, Inc. DBA PEORIA PREP</v>
      </c>
      <c r="D16" t="str">
        <f>VLOOKUP(A16,Districts!A:P,16,FALSE)</f>
        <v>L8GJHQ1G3P68</v>
      </c>
      <c r="E16" t="s">
        <v>528</v>
      </c>
      <c r="F16" s="1">
        <v>45200</v>
      </c>
      <c r="G16" t="s">
        <v>529</v>
      </c>
      <c r="H16" t="s">
        <v>530</v>
      </c>
      <c r="I16" s="59">
        <f>VLOOKUP(A16,'611'!D:F,3,FALSE)</f>
        <v>1842.55</v>
      </c>
      <c r="J16" s="59">
        <f>VLOOKUP(A16,'611'!D:Q,14,FALSE)</f>
        <v>1842.55</v>
      </c>
      <c r="K16" s="59">
        <f>VLOOKUP(A16,'611'!D:Q,14,FALSE)</f>
        <v>1842.55</v>
      </c>
      <c r="O16" t="s">
        <v>531</v>
      </c>
      <c r="P16">
        <f>_xlfn.IFNA(VLOOKUP(A16,IndirectCost!B:L,11,FALSE),"")</f>
        <v>8</v>
      </c>
      <c r="Q16">
        <f t="shared" si="0"/>
        <v>0.08</v>
      </c>
    </row>
    <row r="17" spans="1:17">
      <c r="A17" t="s">
        <v>57</v>
      </c>
      <c r="B17" t="s">
        <v>549</v>
      </c>
      <c r="C17" t="str">
        <f>VLOOKUP(A17,Districts!A:I,9,FALSE)</f>
        <v>Ajo Unified School District DBA Ajo Unified School District 15</v>
      </c>
      <c r="D17" t="str">
        <f>VLOOKUP(A17,Districts!A:P,16,FALSE)</f>
        <v>NSB1M6BNXNC9</v>
      </c>
      <c r="E17" t="s">
        <v>528</v>
      </c>
      <c r="F17" s="1">
        <v>45200</v>
      </c>
      <c r="G17" t="s">
        <v>529</v>
      </c>
      <c r="H17" t="s">
        <v>530</v>
      </c>
      <c r="I17" s="59">
        <f>VLOOKUP(A17,'611'!D:F,3,FALSE)</f>
        <v>89341.38</v>
      </c>
      <c r="J17" s="59">
        <f>VLOOKUP(A17,'611'!D:Q,14,FALSE)</f>
        <v>89341.38</v>
      </c>
      <c r="K17" s="59">
        <f>VLOOKUP(A17,'611'!D:Q,14,FALSE)</f>
        <v>89341.38</v>
      </c>
      <c r="O17" t="s">
        <v>531</v>
      </c>
      <c r="P17">
        <f>_xlfn.IFNA(VLOOKUP(A17,IndirectCost!B:L,11,FALSE),"")</f>
        <v>8</v>
      </c>
      <c r="Q17">
        <f t="shared" si="0"/>
        <v>0.08</v>
      </c>
    </row>
    <row r="18" spans="1:17">
      <c r="A18" t="s">
        <v>58</v>
      </c>
      <c r="B18" t="s">
        <v>550</v>
      </c>
      <c r="C18" t="str">
        <f>VLOOKUP(A18,Districts!A:I,9,FALSE)</f>
        <v>AKIMEL O'OTHAM PEE POSH CHARTER SCHOOL, INC.</v>
      </c>
      <c r="D18" t="str">
        <f>VLOOKUP(A18,Districts!A:P,16,FALSE)</f>
        <v>G46QRKKYCMY3</v>
      </c>
      <c r="E18" t="s">
        <v>528</v>
      </c>
      <c r="F18" s="1">
        <v>45200</v>
      </c>
      <c r="G18" t="s">
        <v>529</v>
      </c>
      <c r="H18" t="s">
        <v>530</v>
      </c>
      <c r="I18" s="59">
        <f>VLOOKUP(A18,'611'!D:F,3,FALSE)</f>
        <v>6988.77</v>
      </c>
      <c r="J18" s="59">
        <f>VLOOKUP(A18,'611'!D:Q,14,FALSE)</f>
        <v>0</v>
      </c>
      <c r="K18" s="59">
        <f>VLOOKUP(A18,'611'!D:Q,14,FALSE)</f>
        <v>0</v>
      </c>
      <c r="O18" t="s">
        <v>531</v>
      </c>
      <c r="P18" t="str">
        <f>_xlfn.IFNA(VLOOKUP(A18,IndirectCost!B:L,11,FALSE),"")</f>
        <v/>
      </c>
      <c r="Q18">
        <f t="shared" si="0"/>
        <v>0</v>
      </c>
    </row>
    <row r="19" spans="1:17">
      <c r="A19" t="s">
        <v>551</v>
      </c>
      <c r="B19" t="s">
        <v>552</v>
      </c>
      <c r="C19" t="str">
        <f>VLOOKUP(A19,Districts!A:I,9,FALSE)</f>
        <v>Akimel O'Otham Pee Posh Charter School Inc. Akimel O'otham Pee Posh 3-5</v>
      </c>
      <c r="D19" t="str">
        <f>VLOOKUP(A19,Districts!A:P,16,FALSE)</f>
        <v>S6MCB6YAACM3</v>
      </c>
      <c r="E19" t="s">
        <v>528</v>
      </c>
      <c r="F19" s="1">
        <v>45200</v>
      </c>
      <c r="G19" t="s">
        <v>529</v>
      </c>
      <c r="H19" t="s">
        <v>530</v>
      </c>
      <c r="I19" s="59">
        <f>VLOOKUP(A19,'611'!D:F,3,FALSE)</f>
        <v>6066.79</v>
      </c>
      <c r="J19" s="59">
        <f>VLOOKUP(A19,'611'!D:Q,14,FALSE)</f>
        <v>0</v>
      </c>
      <c r="K19" s="59">
        <f>VLOOKUP(A19,'611'!D:Q,14,FALSE)</f>
        <v>0</v>
      </c>
      <c r="O19" t="s">
        <v>531</v>
      </c>
      <c r="P19" t="str">
        <f>_xlfn.IFNA(VLOOKUP(A19,IndirectCost!B:L,11,FALSE),"")</f>
        <v/>
      </c>
      <c r="Q19">
        <f t="shared" si="0"/>
        <v>0</v>
      </c>
    </row>
    <row r="20" spans="1:17">
      <c r="A20" t="s">
        <v>59</v>
      </c>
      <c r="B20" t="s">
        <v>553</v>
      </c>
      <c r="C20" t="str">
        <f>VLOOKUP(A20,Districts!A:I,9,FALSE)</f>
        <v>Alhambra Elementary School District</v>
      </c>
      <c r="D20" t="str">
        <f>VLOOKUP(A20,Districts!A:P,16,FALSE)</f>
        <v>MFFQJLG4KY23</v>
      </c>
      <c r="E20" t="s">
        <v>528</v>
      </c>
      <c r="F20" s="1">
        <v>45200</v>
      </c>
      <c r="G20" t="s">
        <v>529</v>
      </c>
      <c r="H20" t="s">
        <v>530</v>
      </c>
      <c r="I20" s="59">
        <f>VLOOKUP(A20,'611'!D:F,3,FALSE)</f>
        <v>2449445.4700000002</v>
      </c>
      <c r="J20" s="59">
        <f>VLOOKUP(A20,'611'!D:Q,14,FALSE)</f>
        <v>2718339.3</v>
      </c>
      <c r="K20" s="59">
        <f>VLOOKUP(A20,'611'!D:Q,14,FALSE)</f>
        <v>2718339.3</v>
      </c>
      <c r="O20" t="s">
        <v>531</v>
      </c>
      <c r="P20">
        <f>_xlfn.IFNA(VLOOKUP(A20,IndirectCost!B:L,11,FALSE),"")</f>
        <v>2.96</v>
      </c>
      <c r="Q20">
        <f t="shared" si="0"/>
        <v>2.9600000000000001E-2</v>
      </c>
    </row>
    <row r="21" spans="1:17">
      <c r="A21" t="s">
        <v>60</v>
      </c>
      <c r="B21" t="s">
        <v>554</v>
      </c>
      <c r="C21" t="str">
        <f>VLOOKUP(A21,Districts!A:I,9,FALSE)</f>
        <v>ALPINE ELEMENTARY SCHOOL DISTRICT 7</v>
      </c>
      <c r="D21" t="str">
        <f>VLOOKUP(A21,Districts!A:P,16,FALSE)</f>
        <v>C7FLNRYJNCU2</v>
      </c>
      <c r="E21" t="s">
        <v>528</v>
      </c>
      <c r="F21" s="1">
        <v>45200</v>
      </c>
      <c r="G21" t="s">
        <v>529</v>
      </c>
      <c r="H21" t="s">
        <v>530</v>
      </c>
      <c r="I21" s="59">
        <f>VLOOKUP(A21,'611'!D:F,3,FALSE)</f>
        <v>11661.38</v>
      </c>
      <c r="J21" s="59">
        <f>VLOOKUP(A21,'611'!D:Q,14,FALSE)</f>
        <v>11661.38</v>
      </c>
      <c r="K21" s="59">
        <f>VLOOKUP(A21,'611'!D:Q,14,FALSE)</f>
        <v>11661.38</v>
      </c>
      <c r="O21" t="s">
        <v>531</v>
      </c>
      <c r="P21" t="str">
        <f>_xlfn.IFNA(VLOOKUP(A21,IndirectCost!B:L,11,FALSE),"")</f>
        <v/>
      </c>
      <c r="Q21">
        <f t="shared" si="0"/>
        <v>0</v>
      </c>
    </row>
    <row r="22" spans="1:17">
      <c r="A22" t="s">
        <v>61</v>
      </c>
      <c r="B22" t="s">
        <v>555</v>
      </c>
      <c r="C22" t="str">
        <f>VLOOKUP(A22,Districts!A:I,9,FALSE)</f>
        <v>Altar Valley District 51</v>
      </c>
      <c r="D22" t="str">
        <f>VLOOKUP(A22,Districts!A:P,16,FALSE)</f>
        <v>NYQLQPYMG2E5</v>
      </c>
      <c r="E22" t="s">
        <v>528</v>
      </c>
      <c r="F22" s="1">
        <v>45200</v>
      </c>
      <c r="G22" t="s">
        <v>529</v>
      </c>
      <c r="H22" t="s">
        <v>530</v>
      </c>
      <c r="I22" s="59">
        <f>VLOOKUP(A22,'611'!D:F,3,FALSE)</f>
        <v>210196.93</v>
      </c>
      <c r="J22" s="59">
        <f>VLOOKUP(A22,'611'!D:Q,14,FALSE)</f>
        <v>231096.17</v>
      </c>
      <c r="K22" s="59">
        <f>VLOOKUP(A22,'611'!D:Q,14,FALSE)</f>
        <v>231096.17</v>
      </c>
      <c r="O22" t="s">
        <v>531</v>
      </c>
      <c r="P22">
        <f>_xlfn.IFNA(VLOOKUP(A22,IndirectCost!B:L,11,FALSE),"")</f>
        <v>6.84</v>
      </c>
      <c r="Q22">
        <f t="shared" si="0"/>
        <v>6.8400000000000002E-2</v>
      </c>
    </row>
    <row r="23" spans="1:17">
      <c r="A23" t="s">
        <v>556</v>
      </c>
      <c r="B23" t="s">
        <v>557</v>
      </c>
      <c r="C23" t="str">
        <f>VLOOKUP(A23,Districts!A:I,9,FALSE)</f>
        <v>AMERICAN CHARTER SCHOOLS FOUNDATION</v>
      </c>
      <c r="D23" t="str">
        <f>VLOOKUP(A23,Districts!A:P,16,FALSE)</f>
        <v>JHK3G79PAFL8</v>
      </c>
      <c r="E23" t="s">
        <v>528</v>
      </c>
      <c r="F23" s="1">
        <v>45200</v>
      </c>
      <c r="G23" t="s">
        <v>529</v>
      </c>
      <c r="H23" t="s">
        <v>530</v>
      </c>
      <c r="I23" s="59">
        <f>VLOOKUP(A23,'611'!D:F,3,FALSE)</f>
        <v>99750.67</v>
      </c>
      <c r="J23" s="59">
        <f>VLOOKUP(A23,'611'!D:Q,14,FALSE)</f>
        <v>158083.79999999999</v>
      </c>
      <c r="K23" s="59">
        <f>VLOOKUP(A23,'611'!D:Q,14,FALSE)</f>
        <v>158083.79999999999</v>
      </c>
      <c r="O23" t="s">
        <v>531</v>
      </c>
      <c r="P23">
        <f>_xlfn.IFNA(VLOOKUP(A23,IndirectCost!B:L,11,FALSE),"")</f>
        <v>8</v>
      </c>
      <c r="Q23">
        <f t="shared" si="0"/>
        <v>0.08</v>
      </c>
    </row>
    <row r="24" spans="1:17">
      <c r="A24" t="s">
        <v>558</v>
      </c>
      <c r="B24" t="s">
        <v>559</v>
      </c>
      <c r="C24" t="str">
        <f>VLOOKUP(A24,Districts!A:I,9,FALSE)</f>
        <v>AMERICAN CHARTER SCHOOLS FOUNDATION</v>
      </c>
      <c r="D24" t="str">
        <f>VLOOKUP(A24,Districts!A:P,16,FALSE)</f>
        <v>DDK8RXXX41W7</v>
      </c>
      <c r="E24" t="s">
        <v>528</v>
      </c>
      <c r="F24" s="1">
        <v>45200</v>
      </c>
      <c r="G24" t="s">
        <v>529</v>
      </c>
      <c r="H24" t="s">
        <v>530</v>
      </c>
      <c r="I24" s="59">
        <f>VLOOKUP(A24,'611'!D:F,3,FALSE)</f>
        <v>35918</v>
      </c>
      <c r="J24" s="59">
        <f>VLOOKUP(A24,'611'!D:Q,14,FALSE)</f>
        <v>37349.919999999998</v>
      </c>
      <c r="K24" s="59">
        <f>VLOOKUP(A24,'611'!D:Q,14,FALSE)</f>
        <v>37349.919999999998</v>
      </c>
      <c r="O24" t="s">
        <v>531</v>
      </c>
      <c r="P24">
        <f>_xlfn.IFNA(VLOOKUP(A24,IndirectCost!B:L,11,FALSE),"")</f>
        <v>8</v>
      </c>
      <c r="Q24">
        <f t="shared" si="0"/>
        <v>0.08</v>
      </c>
    </row>
    <row r="25" spans="1:17">
      <c r="A25" t="s">
        <v>560</v>
      </c>
      <c r="B25" t="s">
        <v>561</v>
      </c>
      <c r="C25" t="str">
        <f>VLOOKUP(A25,Districts!A:I,9,FALSE)</f>
        <v>American Charter Schools Foundation d.b.a. Crestview College Preparatory High School</v>
      </c>
      <c r="D25" t="str">
        <f>VLOOKUP(A25,Districts!A:P,16,FALSE)</f>
        <v>ZJH6PVJNZA94</v>
      </c>
      <c r="E25" t="s">
        <v>528</v>
      </c>
      <c r="F25" s="1">
        <v>45200</v>
      </c>
      <c r="G25" t="s">
        <v>529</v>
      </c>
      <c r="H25" t="s">
        <v>530</v>
      </c>
      <c r="I25" s="59">
        <f>VLOOKUP(A25,'611'!D:F,3,FALSE)</f>
        <v>57451.16</v>
      </c>
      <c r="J25" s="59">
        <f>VLOOKUP(A25,'611'!D:Q,14,FALSE)</f>
        <v>73023.86</v>
      </c>
      <c r="K25" s="59">
        <f>VLOOKUP(A25,'611'!D:Q,14,FALSE)</f>
        <v>73023.86</v>
      </c>
      <c r="O25" t="s">
        <v>531</v>
      </c>
      <c r="P25">
        <f>_xlfn.IFNA(VLOOKUP(A25,IndirectCost!B:L,11,FALSE),"")</f>
        <v>8</v>
      </c>
      <c r="Q25">
        <f t="shared" si="0"/>
        <v>0.08</v>
      </c>
    </row>
    <row r="26" spans="1:17">
      <c r="A26" t="s">
        <v>562</v>
      </c>
      <c r="B26" t="s">
        <v>563</v>
      </c>
      <c r="C26" t="str">
        <f>VLOOKUP(A26,Districts!A:I,9,FALSE)</f>
        <v>American Charter Schools Foundation d.b.a. Desert Hills High School</v>
      </c>
      <c r="D26" t="str">
        <f>VLOOKUP(A26,Districts!A:P,16,FALSE)</f>
        <v>HFF5MCPA45M4</v>
      </c>
      <c r="E26" t="s">
        <v>528</v>
      </c>
      <c r="F26" s="1">
        <v>45200</v>
      </c>
      <c r="G26" t="s">
        <v>529</v>
      </c>
      <c r="H26" t="s">
        <v>530</v>
      </c>
      <c r="I26" s="59">
        <f>VLOOKUP(A26,'611'!D:F,3,FALSE)</f>
        <v>53568.34</v>
      </c>
      <c r="J26" s="59">
        <f>VLOOKUP(A26,'611'!D:Q,14,FALSE)</f>
        <v>53568.34</v>
      </c>
      <c r="K26" s="59">
        <f>VLOOKUP(A26,'611'!D:Q,14,FALSE)</f>
        <v>53568.34</v>
      </c>
      <c r="O26" t="s">
        <v>531</v>
      </c>
      <c r="P26">
        <f>_xlfn.IFNA(VLOOKUP(A26,IndirectCost!B:L,11,FALSE),"")</f>
        <v>8</v>
      </c>
      <c r="Q26">
        <f t="shared" si="0"/>
        <v>0.08</v>
      </c>
    </row>
    <row r="27" spans="1:17">
      <c r="A27" t="s">
        <v>564</v>
      </c>
      <c r="B27" t="s">
        <v>565</v>
      </c>
      <c r="C27" t="str">
        <f>VLOOKUP(A27,Districts!A:I,9,FALSE)</f>
        <v>AMERICAN CHARTER SCHOOLS FOUNDATION</v>
      </c>
      <c r="D27" t="str">
        <f>VLOOKUP(A27,Districts!A:P,16,FALSE)</f>
        <v>LVFTXW9KNKS3</v>
      </c>
      <c r="E27" t="s">
        <v>528</v>
      </c>
      <c r="F27" s="1">
        <v>45200</v>
      </c>
      <c r="G27" t="s">
        <v>529</v>
      </c>
      <c r="H27" t="s">
        <v>530</v>
      </c>
      <c r="I27" s="59">
        <f>VLOOKUP(A27,'611'!D:F,3,FALSE)</f>
        <v>32929.07</v>
      </c>
      <c r="J27" s="59">
        <f>VLOOKUP(A27,'611'!D:Q,14,FALSE)</f>
        <v>42973.22</v>
      </c>
      <c r="K27" s="59">
        <f>VLOOKUP(A27,'611'!D:Q,14,FALSE)</f>
        <v>42973.22</v>
      </c>
      <c r="O27" t="s">
        <v>531</v>
      </c>
      <c r="P27">
        <f>_xlfn.IFNA(VLOOKUP(A27,IndirectCost!B:L,11,FALSE),"")</f>
        <v>8</v>
      </c>
      <c r="Q27">
        <f t="shared" si="0"/>
        <v>0.08</v>
      </c>
    </row>
    <row r="28" spans="1:17">
      <c r="A28" t="s">
        <v>566</v>
      </c>
      <c r="B28" t="s">
        <v>567</v>
      </c>
      <c r="C28" t="str">
        <f>VLOOKUP(A28,Districts!A:I,9,FALSE)</f>
        <v>AMERICAN CHARTER SCHOOLS FOUNDATION</v>
      </c>
      <c r="D28" t="str">
        <f>VLOOKUP(A28,Districts!A:P,16,FALSE)</f>
        <v>M3N5YLH34YQ8</v>
      </c>
      <c r="E28" t="s">
        <v>528</v>
      </c>
      <c r="F28" s="1">
        <v>45200</v>
      </c>
      <c r="G28" t="s">
        <v>529</v>
      </c>
      <c r="H28" t="s">
        <v>530</v>
      </c>
      <c r="I28" s="59">
        <f>VLOOKUP(A28,'611'!D:F,3,FALSE)</f>
        <v>104123.57</v>
      </c>
      <c r="J28" s="59">
        <f>VLOOKUP(A28,'611'!D:Q,14,FALSE)</f>
        <v>115386.67</v>
      </c>
      <c r="K28" s="59">
        <f>VLOOKUP(A28,'611'!D:Q,14,FALSE)</f>
        <v>115386.67</v>
      </c>
      <c r="O28" t="s">
        <v>531</v>
      </c>
      <c r="P28">
        <f>_xlfn.IFNA(VLOOKUP(A28,IndirectCost!B:L,11,FALSE),"")</f>
        <v>8</v>
      </c>
      <c r="Q28">
        <f t="shared" si="0"/>
        <v>0.08</v>
      </c>
    </row>
    <row r="29" spans="1:17">
      <c r="A29" t="s">
        <v>568</v>
      </c>
      <c r="B29" t="s">
        <v>569</v>
      </c>
      <c r="C29" t="str">
        <f>VLOOKUP(A29,Districts!A:I,9,FALSE)</f>
        <v>AMERICAN CHARTER SCHOOLS FOUNDATION</v>
      </c>
      <c r="D29" t="str">
        <f>VLOOKUP(A29,Districts!A:P,16,FALSE)</f>
        <v>JWWUBSJ1A9H3</v>
      </c>
      <c r="E29" t="s">
        <v>528</v>
      </c>
      <c r="F29" s="1">
        <v>45200</v>
      </c>
      <c r="G29" t="s">
        <v>529</v>
      </c>
      <c r="H29" t="s">
        <v>530</v>
      </c>
      <c r="I29" s="59">
        <f>VLOOKUP(A29,'611'!D:F,3,FALSE)</f>
        <v>103735.39</v>
      </c>
      <c r="J29" s="59">
        <f>VLOOKUP(A29,'611'!D:Q,14,FALSE)</f>
        <v>117507.18</v>
      </c>
      <c r="K29" s="59">
        <f>VLOOKUP(A29,'611'!D:Q,14,FALSE)</f>
        <v>117507.18</v>
      </c>
      <c r="O29" t="s">
        <v>531</v>
      </c>
      <c r="P29">
        <f>_xlfn.IFNA(VLOOKUP(A29,IndirectCost!B:L,11,FALSE),"")</f>
        <v>8</v>
      </c>
      <c r="Q29">
        <f t="shared" si="0"/>
        <v>0.08</v>
      </c>
    </row>
    <row r="30" spans="1:17">
      <c r="A30" t="s">
        <v>570</v>
      </c>
      <c r="B30" t="s">
        <v>571</v>
      </c>
      <c r="C30" t="str">
        <f>VLOOKUP(A30,Districts!A:I,9,FALSE)</f>
        <v>AMERICAN CHARTER SCHOOLS FOUNDATION</v>
      </c>
      <c r="D30" t="str">
        <f>VLOOKUP(A30,Districts!A:P,16,FALSE)</f>
        <v>NBVLX5VF26B9</v>
      </c>
      <c r="E30" t="s">
        <v>528</v>
      </c>
      <c r="F30" s="1">
        <v>45200</v>
      </c>
      <c r="G30" t="s">
        <v>529</v>
      </c>
      <c r="H30" t="s">
        <v>530</v>
      </c>
      <c r="I30" s="59">
        <f>VLOOKUP(A30,'611'!D:F,3,FALSE)</f>
        <v>69579.05</v>
      </c>
      <c r="J30" s="59">
        <f>VLOOKUP(A30,'611'!D:Q,14,FALSE)</f>
        <v>74496.63</v>
      </c>
      <c r="K30" s="59">
        <f>VLOOKUP(A30,'611'!D:Q,14,FALSE)</f>
        <v>74496.63</v>
      </c>
      <c r="O30" t="s">
        <v>531</v>
      </c>
      <c r="P30">
        <f>_xlfn.IFNA(VLOOKUP(A30,IndirectCost!B:L,11,FALSE),"")</f>
        <v>8</v>
      </c>
      <c r="Q30">
        <f t="shared" si="0"/>
        <v>0.08</v>
      </c>
    </row>
    <row r="31" spans="1:17">
      <c r="A31" t="s">
        <v>572</v>
      </c>
      <c r="B31" t="s">
        <v>573</v>
      </c>
      <c r="C31" t="str">
        <f>VLOOKUP(A31,Districts!A:I,9,FALSE)</f>
        <v>American Charter Schools Foundation</v>
      </c>
      <c r="D31" t="str">
        <f>VLOOKUP(A31,Districts!A:P,16,FALSE)</f>
        <v>YSG9RKWLW1L9</v>
      </c>
      <c r="E31" t="s">
        <v>528</v>
      </c>
      <c r="F31" s="1">
        <v>45200</v>
      </c>
      <c r="G31" t="s">
        <v>529</v>
      </c>
      <c r="H31" t="s">
        <v>530</v>
      </c>
      <c r="I31" s="59">
        <f>VLOOKUP(A31,'611'!D:F,3,FALSE)</f>
        <v>79118.44</v>
      </c>
      <c r="J31" s="59">
        <f>VLOOKUP(A31,'611'!D:Q,14,FALSE)</f>
        <v>85225.37</v>
      </c>
      <c r="K31" s="59">
        <f>VLOOKUP(A31,'611'!D:Q,14,FALSE)</f>
        <v>85225.37</v>
      </c>
      <c r="O31" t="s">
        <v>531</v>
      </c>
      <c r="P31">
        <f>_xlfn.IFNA(VLOOKUP(A31,IndirectCost!B:L,11,FALSE),"")</f>
        <v>8</v>
      </c>
      <c r="Q31">
        <f t="shared" si="0"/>
        <v>0.08</v>
      </c>
    </row>
    <row r="32" spans="1:17">
      <c r="A32" t="s">
        <v>574</v>
      </c>
      <c r="B32" t="s">
        <v>575</v>
      </c>
      <c r="C32" t="str">
        <f>VLOOKUP(A32,Districts!A:I,9,FALSE)</f>
        <v>AMERICAN CHARTER SCHOOLS FOUNDATION</v>
      </c>
      <c r="D32" t="str">
        <f>VLOOKUP(A32,Districts!A:P,16,FALSE)</f>
        <v>HYC1LJGQW311</v>
      </c>
      <c r="E32" t="s">
        <v>528</v>
      </c>
      <c r="F32" s="1">
        <v>45200</v>
      </c>
      <c r="G32" t="s">
        <v>529</v>
      </c>
      <c r="H32" t="s">
        <v>530</v>
      </c>
      <c r="I32" s="59">
        <f>VLOOKUP(A32,'611'!D:F,3,FALSE)</f>
        <v>81628.19</v>
      </c>
      <c r="J32" s="59">
        <f>VLOOKUP(A32,'611'!D:Q,14,FALSE)</f>
        <v>116828.43</v>
      </c>
      <c r="K32" s="59">
        <f>VLOOKUP(A32,'611'!D:Q,14,FALSE)</f>
        <v>116828.43</v>
      </c>
      <c r="O32" t="s">
        <v>531</v>
      </c>
      <c r="P32">
        <f>_xlfn.IFNA(VLOOKUP(A32,IndirectCost!B:L,11,FALSE),"")</f>
        <v>8</v>
      </c>
      <c r="Q32">
        <f t="shared" si="0"/>
        <v>0.08</v>
      </c>
    </row>
    <row r="33" spans="1:17">
      <c r="A33" t="s">
        <v>576</v>
      </c>
      <c r="B33" t="s">
        <v>577</v>
      </c>
      <c r="C33" t="str">
        <f>VLOOKUP(A33,Districts!A:I,9,FALSE)</f>
        <v>AMERICAN CHARTER SCHOOLS FOUNDATION</v>
      </c>
      <c r="D33" t="str">
        <f>VLOOKUP(A33,Districts!A:P,16,FALSE)</f>
        <v>G8ANQPZGLNN3</v>
      </c>
      <c r="E33" t="s">
        <v>528</v>
      </c>
      <c r="F33" s="1">
        <v>45200</v>
      </c>
      <c r="G33" t="s">
        <v>529</v>
      </c>
      <c r="H33" t="s">
        <v>530</v>
      </c>
      <c r="I33" s="59">
        <f>VLOOKUP(A33,'611'!D:F,3,FALSE)</f>
        <v>30400.06</v>
      </c>
      <c r="J33" s="59">
        <f>VLOOKUP(A33,'611'!D:Q,14,FALSE)</f>
        <v>30400.06</v>
      </c>
      <c r="K33" s="59">
        <f>VLOOKUP(A33,'611'!D:Q,14,FALSE)</f>
        <v>30400.06</v>
      </c>
      <c r="O33" t="s">
        <v>531</v>
      </c>
      <c r="P33">
        <f>_xlfn.IFNA(VLOOKUP(A33,IndirectCost!B:L,11,FALSE),"")</f>
        <v>0</v>
      </c>
      <c r="Q33">
        <f t="shared" si="0"/>
        <v>0</v>
      </c>
    </row>
    <row r="34" spans="1:17">
      <c r="A34" t="s">
        <v>62</v>
      </c>
      <c r="B34" t="s">
        <v>578</v>
      </c>
      <c r="C34" t="str">
        <f>VLOOKUP(A34,Districts!A:I,9,FALSE)</f>
        <v>American Leadership Academy</v>
      </c>
      <c r="D34" t="str">
        <f>VLOOKUP(A34,Districts!A:P,16,FALSE)</f>
        <v>YW9UY8AUXQE6</v>
      </c>
      <c r="E34" t="s">
        <v>528</v>
      </c>
      <c r="F34" s="1">
        <v>45200</v>
      </c>
      <c r="G34" t="s">
        <v>529</v>
      </c>
      <c r="H34" t="s">
        <v>530</v>
      </c>
      <c r="I34" s="59">
        <f>VLOOKUP(A34,'611'!D:F,3,FALSE)</f>
        <v>1852381.31</v>
      </c>
      <c r="J34" s="59">
        <f>VLOOKUP(A34,'611'!D:Q,14,FALSE)</f>
        <v>2245161.61</v>
      </c>
      <c r="K34" s="59">
        <f>VLOOKUP(A34,'611'!D:Q,14,FALSE)</f>
        <v>2245161.61</v>
      </c>
      <c r="O34" t="s">
        <v>531</v>
      </c>
      <c r="P34" t="str">
        <f>_xlfn.IFNA(VLOOKUP(A34,IndirectCost!B:L,11,FALSE),"")</f>
        <v/>
      </c>
      <c r="Q34">
        <f t="shared" si="0"/>
        <v>0</v>
      </c>
    </row>
    <row r="35" spans="1:17">
      <c r="A35" t="s">
        <v>63</v>
      </c>
      <c r="B35" t="s">
        <v>579</v>
      </c>
      <c r="C35" t="str">
        <f>VLOOKUP(A35,Districts!A:I,9,FALSE)</f>
        <v>PIMA COUNTY AMPHITHEATHER SCHOOLS</v>
      </c>
      <c r="D35" t="str">
        <f>VLOOKUP(A35,Districts!A:P,16,FALSE)</f>
        <v>JFQYRDQLNSK1</v>
      </c>
      <c r="E35" t="s">
        <v>528</v>
      </c>
      <c r="F35" s="1">
        <v>45200</v>
      </c>
      <c r="G35" t="s">
        <v>529</v>
      </c>
      <c r="H35" t="s">
        <v>530</v>
      </c>
      <c r="I35" s="59">
        <f>VLOOKUP(A35,'611'!D:F,3,FALSE)</f>
        <v>2931072.03</v>
      </c>
      <c r="J35" s="59">
        <f>VLOOKUP(A35,'611'!D:Q,14,FALSE)</f>
        <v>2931072.03</v>
      </c>
      <c r="K35" s="59">
        <f>VLOOKUP(A35,'611'!D:Q,14,FALSE)</f>
        <v>2931072.03</v>
      </c>
      <c r="O35" t="s">
        <v>531</v>
      </c>
      <c r="P35">
        <f>_xlfn.IFNA(VLOOKUP(A35,IndirectCost!B:L,11,FALSE),"")</f>
        <v>3.69</v>
      </c>
      <c r="Q35">
        <f t="shared" si="0"/>
        <v>3.6900000000000002E-2</v>
      </c>
    </row>
    <row r="36" spans="1:17">
      <c r="A36" t="s">
        <v>580</v>
      </c>
      <c r="B36" t="s">
        <v>581</v>
      </c>
      <c r="C36" t="str">
        <f>VLOOKUP(A36,Districts!A:I,9,FALSE)</f>
        <v>Antelope Union High School District 50</v>
      </c>
      <c r="D36" t="str">
        <f>VLOOKUP(A36,Districts!A:P,16,FALSE)</f>
        <v>EMC9NC16HDD4</v>
      </c>
      <c r="E36" t="s">
        <v>528</v>
      </c>
      <c r="F36" s="1">
        <v>45200</v>
      </c>
      <c r="G36" t="s">
        <v>529</v>
      </c>
      <c r="H36" t="s">
        <v>530</v>
      </c>
      <c r="I36" s="59">
        <f>VLOOKUP(A36,'611'!D:F,3,FALSE)</f>
        <v>50741.5</v>
      </c>
      <c r="J36" s="59">
        <f>VLOOKUP(A36,'611'!D:Q,14,FALSE)</f>
        <v>64795.34</v>
      </c>
      <c r="K36" s="59">
        <f>VLOOKUP(A36,'611'!D:Q,14,FALSE)</f>
        <v>64795.34</v>
      </c>
      <c r="O36" t="s">
        <v>531</v>
      </c>
      <c r="P36" t="str">
        <f>_xlfn.IFNA(VLOOKUP(A36,IndirectCost!B:L,11,FALSE),"")</f>
        <v/>
      </c>
      <c r="Q36">
        <f t="shared" si="0"/>
        <v>0</v>
      </c>
    </row>
    <row r="37" spans="1:17">
      <c r="A37" t="s">
        <v>64</v>
      </c>
      <c r="B37" t="s">
        <v>582</v>
      </c>
      <c r="C37" t="str">
        <f>VLOOKUP(A37,Districts!A:I,9,FALSE)</f>
        <v>Anthem Preparatory Academy</v>
      </c>
      <c r="D37" t="str">
        <f>VLOOKUP(A37,Districts!A:P,16,FALSE)</f>
        <v>GQKDHV2B6NA3</v>
      </c>
      <c r="E37" t="s">
        <v>528</v>
      </c>
      <c r="F37" s="1">
        <v>45200</v>
      </c>
      <c r="G37" t="s">
        <v>529</v>
      </c>
      <c r="H37" t="s">
        <v>530</v>
      </c>
      <c r="I37" s="59">
        <f>VLOOKUP(A37,'611'!D:F,3,FALSE)</f>
        <v>137902.01</v>
      </c>
      <c r="J37" s="59">
        <f>VLOOKUP(A37,'611'!D:Q,14,FALSE)</f>
        <v>207252.33</v>
      </c>
      <c r="K37" s="59">
        <f>VLOOKUP(A37,'611'!D:Q,14,FALSE)</f>
        <v>207252.33</v>
      </c>
      <c r="O37" t="s">
        <v>531</v>
      </c>
      <c r="P37">
        <f>_xlfn.IFNA(VLOOKUP(A37,IndirectCost!B:L,11,FALSE),"")</f>
        <v>8</v>
      </c>
      <c r="Q37">
        <f t="shared" si="0"/>
        <v>0.08</v>
      </c>
    </row>
    <row r="38" spans="1:17">
      <c r="A38" t="s">
        <v>583</v>
      </c>
      <c r="B38" t="s">
        <v>584</v>
      </c>
      <c r="C38" t="str">
        <f>VLOOKUP(A38,Districts!A:I,9,FALSE)</f>
        <v>County of Apache</v>
      </c>
      <c r="D38">
        <f>VLOOKUP(A38,Districts!A:P,16,FALSE)</f>
        <v>0</v>
      </c>
      <c r="E38" t="s">
        <v>528</v>
      </c>
      <c r="F38" s="1">
        <v>45200</v>
      </c>
      <c r="G38" t="s">
        <v>529</v>
      </c>
      <c r="H38" t="s">
        <v>530</v>
      </c>
      <c r="I38" s="59">
        <f>VLOOKUP(A38,'611'!D:F,3,FALSE)</f>
        <v>391.37</v>
      </c>
      <c r="J38" s="59">
        <f>VLOOKUP(A38,'611'!D:Q,14,FALSE)</f>
        <v>391.37</v>
      </c>
      <c r="K38" s="59">
        <f>VLOOKUP(A38,'611'!D:Q,14,FALSE)</f>
        <v>391.37</v>
      </c>
      <c r="O38" t="s">
        <v>531</v>
      </c>
      <c r="P38" t="str">
        <f>_xlfn.IFNA(VLOOKUP(A38,IndirectCost!B:L,11,FALSE),"")</f>
        <v/>
      </c>
      <c r="Q38">
        <f t="shared" si="0"/>
        <v>0</v>
      </c>
    </row>
    <row r="39" spans="1:17">
      <c r="A39" t="s">
        <v>65</v>
      </c>
      <c r="B39" t="s">
        <v>585</v>
      </c>
      <c r="C39" t="str">
        <f>VLOOKUP(A39,Districts!A:I,9,FALSE)</f>
        <v>Apache Elementary District</v>
      </c>
      <c r="D39" t="str">
        <f>VLOOKUP(A39,Districts!A:P,16,FALSE)</f>
        <v>Y6RTLK3QWDR5</v>
      </c>
      <c r="E39" t="s">
        <v>528</v>
      </c>
      <c r="F39" s="1">
        <v>45200</v>
      </c>
      <c r="G39" t="s">
        <v>529</v>
      </c>
      <c r="H39" t="s">
        <v>530</v>
      </c>
      <c r="I39" s="59">
        <f>VLOOKUP(A39,'611'!D:F,3,FALSE)</f>
        <v>4598.03</v>
      </c>
      <c r="J39" s="59">
        <f>VLOOKUP(A39,'611'!D:Q,14,FALSE)</f>
        <v>9823.58</v>
      </c>
      <c r="K39" s="59">
        <f>VLOOKUP(A39,'611'!D:Q,14,FALSE)</f>
        <v>9823.58</v>
      </c>
      <c r="O39" t="s">
        <v>531</v>
      </c>
      <c r="P39" t="str">
        <f>_xlfn.IFNA(VLOOKUP(A39,IndirectCost!B:L,11,FALSE),"")</f>
        <v/>
      </c>
      <c r="Q39">
        <f t="shared" si="0"/>
        <v>0</v>
      </c>
    </row>
    <row r="40" spans="1:17">
      <c r="A40" t="s">
        <v>66</v>
      </c>
      <c r="B40" t="s">
        <v>586</v>
      </c>
      <c r="C40" t="str">
        <f>VLOOKUP(A40,Districts!A:I,9,FALSE)</f>
        <v>Apache Junction Unified School District 43</v>
      </c>
      <c r="D40" t="str">
        <f>VLOOKUP(A40,Districts!A:P,16,FALSE)</f>
        <v>S615LVJN2L33</v>
      </c>
      <c r="E40" t="s">
        <v>528</v>
      </c>
      <c r="F40" s="1">
        <v>45200</v>
      </c>
      <c r="G40" t="s">
        <v>529</v>
      </c>
      <c r="H40" t="s">
        <v>530</v>
      </c>
      <c r="I40" s="59">
        <f>VLOOKUP(A40,'611'!D:F,3,FALSE)</f>
        <v>785918.11</v>
      </c>
      <c r="J40" s="59">
        <f>VLOOKUP(A40,'611'!D:Q,14,FALSE)</f>
        <v>785918.11</v>
      </c>
      <c r="K40" s="59">
        <f>VLOOKUP(A40,'611'!D:Q,14,FALSE)</f>
        <v>785918.11</v>
      </c>
      <c r="O40" t="s">
        <v>531</v>
      </c>
      <c r="P40">
        <f>_xlfn.IFNA(VLOOKUP(A40,IndirectCost!B:L,11,FALSE),"")</f>
        <v>1.42</v>
      </c>
      <c r="Q40">
        <f t="shared" si="0"/>
        <v>1.4199999999999999E-2</v>
      </c>
    </row>
    <row r="41" spans="1:17">
      <c r="A41" t="s">
        <v>67</v>
      </c>
      <c r="B41" t="s">
        <v>587</v>
      </c>
      <c r="C41" t="str">
        <f>VLOOKUP(A41,Districts!A:I,9,FALSE)</f>
        <v>Aprender Tucson</v>
      </c>
      <c r="D41" t="str">
        <f>VLOOKUP(A41,Districts!A:P,16,FALSE)</f>
        <v>HJXUUQW913T4</v>
      </c>
      <c r="E41" t="s">
        <v>528</v>
      </c>
      <c r="F41" s="1">
        <v>45200</v>
      </c>
      <c r="G41" t="s">
        <v>529</v>
      </c>
      <c r="H41" t="s">
        <v>530</v>
      </c>
      <c r="I41" s="59">
        <f>VLOOKUP(A41,'611'!D:F,3,FALSE)</f>
        <v>38420.26</v>
      </c>
      <c r="J41" s="59">
        <f>VLOOKUP(A41,'611'!D:Q,14,FALSE)</f>
        <v>38420.26</v>
      </c>
      <c r="K41" s="59">
        <f>VLOOKUP(A41,'611'!D:Q,14,FALSE)</f>
        <v>38420.26</v>
      </c>
      <c r="O41" t="s">
        <v>531</v>
      </c>
      <c r="P41">
        <f>_xlfn.IFNA(VLOOKUP(A41,IndirectCost!B:L,11,FALSE),"")</f>
        <v>8</v>
      </c>
      <c r="Q41">
        <f t="shared" si="0"/>
        <v>0.08</v>
      </c>
    </row>
    <row r="42" spans="1:17">
      <c r="A42" t="s">
        <v>68</v>
      </c>
      <c r="B42" t="s">
        <v>588</v>
      </c>
      <c r="C42" t="str">
        <f>VLOOKUP(A42,Districts!A:I,9,FALSE)</f>
        <v>ARCHES Academy</v>
      </c>
      <c r="D42" t="str">
        <f>VLOOKUP(A42,Districts!A:P,16,FALSE)</f>
        <v>C7J9H6RF76J3</v>
      </c>
      <c r="E42" t="s">
        <v>528</v>
      </c>
      <c r="F42" s="1">
        <v>45200</v>
      </c>
      <c r="G42" t="s">
        <v>529</v>
      </c>
      <c r="H42" t="s">
        <v>530</v>
      </c>
      <c r="I42" s="59">
        <f>VLOOKUP(A42,'611'!D:F,3,FALSE)</f>
        <v>10655.33</v>
      </c>
      <c r="J42" s="59">
        <f>VLOOKUP(A42,'611'!D:Q,14,FALSE)</f>
        <v>13277.53</v>
      </c>
      <c r="K42" s="59">
        <f>VLOOKUP(A42,'611'!D:Q,14,FALSE)</f>
        <v>13277.53</v>
      </c>
      <c r="O42" t="s">
        <v>531</v>
      </c>
      <c r="P42" t="str">
        <f>_xlfn.IFNA(VLOOKUP(A42,IndirectCost!B:L,11,FALSE),"")</f>
        <v/>
      </c>
      <c r="Q42">
        <f t="shared" si="0"/>
        <v>0</v>
      </c>
    </row>
    <row r="43" spans="1:17">
      <c r="A43" t="s">
        <v>69</v>
      </c>
      <c r="B43" t="s">
        <v>589</v>
      </c>
      <c r="C43" t="str">
        <f>VLOOKUP(A43,Districts!A:I,9,FALSE)</f>
        <v>Archway Classical Academy Arete</v>
      </c>
      <c r="D43" t="str">
        <f>VLOOKUP(A43,Districts!A:P,16,FALSE)</f>
        <v>FLDAUGFLUAN9</v>
      </c>
      <c r="E43" t="s">
        <v>528</v>
      </c>
      <c r="F43" s="1">
        <v>45200</v>
      </c>
      <c r="G43" t="s">
        <v>529</v>
      </c>
      <c r="H43" t="s">
        <v>530</v>
      </c>
      <c r="I43" s="59">
        <f>VLOOKUP(A43,'611'!D:F,3,FALSE)</f>
        <v>77723.460000000006</v>
      </c>
      <c r="J43" s="59">
        <f>VLOOKUP(A43,'611'!D:Q,14,FALSE)</f>
        <v>77723.460000000006</v>
      </c>
      <c r="K43" s="59">
        <f>VLOOKUP(A43,'611'!D:Q,14,FALSE)</f>
        <v>77723.460000000006</v>
      </c>
      <c r="O43" t="s">
        <v>531</v>
      </c>
      <c r="P43">
        <f>_xlfn.IFNA(VLOOKUP(A43,IndirectCost!B:L,11,FALSE),"")</f>
        <v>8</v>
      </c>
      <c r="Q43">
        <f t="shared" si="0"/>
        <v>0.08</v>
      </c>
    </row>
    <row r="44" spans="1:17">
      <c r="A44" t="s">
        <v>70</v>
      </c>
      <c r="B44" t="s">
        <v>590</v>
      </c>
      <c r="C44" t="str">
        <f>VLOOKUP(A44,Districts!A:I,9,FALSE)</f>
        <v>Archway Classical Academy Chandler</v>
      </c>
      <c r="D44" t="str">
        <f>VLOOKUP(A44,Districts!A:P,16,FALSE)</f>
        <v>S6V2V5K6STN5</v>
      </c>
      <c r="E44" t="s">
        <v>528</v>
      </c>
      <c r="F44" s="1">
        <v>45200</v>
      </c>
      <c r="G44" t="s">
        <v>529</v>
      </c>
      <c r="H44" t="s">
        <v>530</v>
      </c>
      <c r="I44" s="59">
        <f>VLOOKUP(A44,'611'!D:F,3,FALSE)</f>
        <v>75374.89</v>
      </c>
      <c r="J44" s="59">
        <f>VLOOKUP(A44,'611'!D:Q,14,FALSE)</f>
        <v>75374.89</v>
      </c>
      <c r="K44" s="59">
        <f>VLOOKUP(A44,'611'!D:Q,14,FALSE)</f>
        <v>75374.89</v>
      </c>
      <c r="O44" t="s">
        <v>531</v>
      </c>
      <c r="P44">
        <f>_xlfn.IFNA(VLOOKUP(A44,IndirectCost!B:L,11,FALSE),"")</f>
        <v>8</v>
      </c>
      <c r="Q44">
        <f t="shared" si="0"/>
        <v>0.08</v>
      </c>
    </row>
    <row r="45" spans="1:17">
      <c r="A45" t="s">
        <v>71</v>
      </c>
      <c r="B45" t="s">
        <v>591</v>
      </c>
      <c r="C45" t="str">
        <f>VLOOKUP(A45,Districts!A:I,9,FALSE)</f>
        <v>Archway Classical Academy Cicero</v>
      </c>
      <c r="D45" t="str">
        <f>VLOOKUP(A45,Districts!A:P,16,FALSE)</f>
        <v>G3KGKB8NHKW5</v>
      </c>
      <c r="E45" t="s">
        <v>528</v>
      </c>
      <c r="F45" s="1">
        <v>45200</v>
      </c>
      <c r="G45" t="s">
        <v>529</v>
      </c>
      <c r="H45" t="s">
        <v>530</v>
      </c>
      <c r="I45" s="59">
        <f>VLOOKUP(A45,'611'!D:F,3,FALSE)</f>
        <v>69672.95</v>
      </c>
      <c r="J45" s="59">
        <f>VLOOKUP(A45,'611'!D:Q,14,FALSE)</f>
        <v>69672.95</v>
      </c>
      <c r="K45" s="59">
        <f>VLOOKUP(A45,'611'!D:Q,14,FALSE)</f>
        <v>69672.95</v>
      </c>
      <c r="O45" t="s">
        <v>531</v>
      </c>
      <c r="P45">
        <f>_xlfn.IFNA(VLOOKUP(A45,IndirectCost!B:L,11,FALSE),"")</f>
        <v>8</v>
      </c>
      <c r="Q45">
        <f t="shared" si="0"/>
        <v>0.08</v>
      </c>
    </row>
    <row r="46" spans="1:17">
      <c r="A46" t="s">
        <v>72</v>
      </c>
      <c r="B46" t="s">
        <v>592</v>
      </c>
      <c r="C46" t="str">
        <f>VLOOKUP(A46,Districts!A:I,9,FALSE)</f>
        <v>Archway Classical Academy Glendale</v>
      </c>
      <c r="D46" t="str">
        <f>VLOOKUP(A46,Districts!A:P,16,FALSE)</f>
        <v>E693MAJ28JV4</v>
      </c>
      <c r="E46" t="s">
        <v>528</v>
      </c>
      <c r="F46" s="1">
        <v>45200</v>
      </c>
      <c r="G46" t="s">
        <v>529</v>
      </c>
      <c r="H46" t="s">
        <v>530</v>
      </c>
      <c r="I46" s="59">
        <f>VLOOKUP(A46,'611'!D:F,3,FALSE)</f>
        <v>78119.69</v>
      </c>
      <c r="J46" s="59">
        <f>VLOOKUP(A46,'611'!D:Q,14,FALSE)</f>
        <v>78120.320000000007</v>
      </c>
      <c r="K46" s="59">
        <f>VLOOKUP(A46,'611'!D:Q,14,FALSE)</f>
        <v>78120.320000000007</v>
      </c>
      <c r="O46" t="s">
        <v>531</v>
      </c>
      <c r="P46">
        <f>_xlfn.IFNA(VLOOKUP(A46,IndirectCost!B:L,11,FALSE),"")</f>
        <v>8</v>
      </c>
      <c r="Q46">
        <f t="shared" si="0"/>
        <v>0.08</v>
      </c>
    </row>
    <row r="47" spans="1:17">
      <c r="A47" t="s">
        <v>73</v>
      </c>
      <c r="B47" t="s">
        <v>593</v>
      </c>
      <c r="C47" t="str">
        <f>VLOOKUP(A47,Districts!A:I,9,FALSE)</f>
        <v>Archway Classical Academy Lincoln</v>
      </c>
      <c r="D47" t="str">
        <f>VLOOKUP(A47,Districts!A:P,16,FALSE)</f>
        <v>C17FH53FMMY8</v>
      </c>
      <c r="E47" t="s">
        <v>528</v>
      </c>
      <c r="F47" s="1">
        <v>45200</v>
      </c>
      <c r="G47" t="s">
        <v>529</v>
      </c>
      <c r="H47" t="s">
        <v>530</v>
      </c>
      <c r="I47" s="59">
        <f>VLOOKUP(A47,'611'!D:F,3,FALSE)</f>
        <v>102581.09</v>
      </c>
      <c r="J47" s="59">
        <f>VLOOKUP(A47,'611'!D:Q,14,FALSE)</f>
        <v>102581.09</v>
      </c>
      <c r="K47" s="59">
        <f>VLOOKUP(A47,'611'!D:Q,14,FALSE)</f>
        <v>102581.09</v>
      </c>
      <c r="O47" t="s">
        <v>531</v>
      </c>
      <c r="P47">
        <f>_xlfn.IFNA(VLOOKUP(A47,IndirectCost!B:L,11,FALSE),"")</f>
        <v>8</v>
      </c>
      <c r="Q47">
        <f t="shared" si="0"/>
        <v>0.08</v>
      </c>
    </row>
    <row r="48" spans="1:17">
      <c r="A48" t="s">
        <v>74</v>
      </c>
      <c r="B48" t="s">
        <v>594</v>
      </c>
      <c r="C48" t="str">
        <f>VLOOKUP(A48,Districts!A:I,9,FALSE)</f>
        <v>Archway Classical Academy North Phoenix</v>
      </c>
      <c r="D48" t="str">
        <f>VLOOKUP(A48,Districts!A:P,16,FALSE)</f>
        <v>WUHDK87BNWJ4</v>
      </c>
      <c r="E48" t="s">
        <v>528</v>
      </c>
      <c r="F48" s="1">
        <v>45200</v>
      </c>
      <c r="G48" t="s">
        <v>529</v>
      </c>
      <c r="H48" t="s">
        <v>530</v>
      </c>
      <c r="I48" s="59">
        <f>VLOOKUP(A48,'611'!D:F,3,FALSE)</f>
        <v>113654.07</v>
      </c>
      <c r="J48" s="59">
        <f>VLOOKUP(A48,'611'!D:Q,14,FALSE)</f>
        <v>113654.07</v>
      </c>
      <c r="K48" s="59">
        <f>VLOOKUP(A48,'611'!D:Q,14,FALSE)</f>
        <v>113654.07</v>
      </c>
      <c r="O48" t="s">
        <v>531</v>
      </c>
      <c r="P48">
        <f>_xlfn.IFNA(VLOOKUP(A48,IndirectCost!B:L,11,FALSE),"")</f>
        <v>8</v>
      </c>
      <c r="Q48">
        <f t="shared" si="0"/>
        <v>0.08</v>
      </c>
    </row>
    <row r="49" spans="1:17">
      <c r="A49" t="s">
        <v>75</v>
      </c>
      <c r="B49" t="s">
        <v>595</v>
      </c>
      <c r="C49" t="str">
        <f>VLOOKUP(A49,Districts!A:I,9,FALSE)</f>
        <v>Archway Classical Academy Scottsdale</v>
      </c>
      <c r="D49" t="str">
        <f>VLOOKUP(A49,Districts!A:P,16,FALSE)</f>
        <v>GFJABTFHG8Q8</v>
      </c>
      <c r="E49" t="s">
        <v>528</v>
      </c>
      <c r="F49" s="1">
        <v>45200</v>
      </c>
      <c r="G49" t="s">
        <v>529</v>
      </c>
      <c r="H49" t="s">
        <v>530</v>
      </c>
      <c r="I49" s="59">
        <f>VLOOKUP(A49,'611'!D:F,3,FALSE)</f>
        <v>144430.47</v>
      </c>
      <c r="J49" s="59">
        <f>VLOOKUP(A49,'611'!D:Q,14,FALSE)</f>
        <v>144430.47</v>
      </c>
      <c r="K49" s="59">
        <f>VLOOKUP(A49,'611'!D:Q,14,FALSE)</f>
        <v>144430.47</v>
      </c>
      <c r="O49" t="s">
        <v>531</v>
      </c>
      <c r="P49">
        <f>_xlfn.IFNA(VLOOKUP(A49,IndirectCost!B:L,11,FALSE),"")</f>
        <v>8</v>
      </c>
      <c r="Q49">
        <f t="shared" si="0"/>
        <v>0.08</v>
      </c>
    </row>
    <row r="50" spans="1:17">
      <c r="A50" t="s">
        <v>76</v>
      </c>
      <c r="B50" t="s">
        <v>596</v>
      </c>
      <c r="C50" t="str">
        <f>VLOOKUP(A50,Districts!A:I,9,FALSE)</f>
        <v>Archway Classical Academy Trivium West</v>
      </c>
      <c r="D50" t="str">
        <f>VLOOKUP(A50,Districts!A:P,16,FALSE)</f>
        <v>G7VKT6GD8PF8</v>
      </c>
      <c r="E50" t="s">
        <v>528</v>
      </c>
      <c r="F50" s="1">
        <v>45200</v>
      </c>
      <c r="G50" t="s">
        <v>529</v>
      </c>
      <c r="H50" t="s">
        <v>530</v>
      </c>
      <c r="I50" s="59">
        <f>VLOOKUP(A50,'611'!D:F,3,FALSE)</f>
        <v>40341.29</v>
      </c>
      <c r="J50" s="59">
        <f>VLOOKUP(A50,'611'!D:Q,14,FALSE)</f>
        <v>40341.29</v>
      </c>
      <c r="K50" s="59">
        <f>VLOOKUP(A50,'611'!D:Q,14,FALSE)</f>
        <v>40341.29</v>
      </c>
      <c r="O50" t="s">
        <v>531</v>
      </c>
      <c r="P50" t="str">
        <f>_xlfn.IFNA(VLOOKUP(A50,IndirectCost!B:L,11,FALSE),"")</f>
        <v/>
      </c>
      <c r="Q50">
        <f t="shared" si="0"/>
        <v>0</v>
      </c>
    </row>
    <row r="51" spans="1:17">
      <c r="A51" t="s">
        <v>77</v>
      </c>
      <c r="B51" t="s">
        <v>596</v>
      </c>
      <c r="C51" t="str">
        <f>VLOOKUP(A51,Districts!A:I,9,FALSE)</f>
        <v>Archway Classical Academy Trivium West</v>
      </c>
      <c r="D51" t="str">
        <f>VLOOKUP(A51,Districts!A:P,16,FALSE)</f>
        <v>G7VKT6GD8PF8</v>
      </c>
      <c r="E51" t="s">
        <v>528</v>
      </c>
      <c r="F51" s="1">
        <v>45200</v>
      </c>
      <c r="G51" t="s">
        <v>529</v>
      </c>
      <c r="H51" t="s">
        <v>530</v>
      </c>
      <c r="I51" s="59">
        <f>VLOOKUP(A51,'611'!D:F,3,FALSE)</f>
        <v>125599.83</v>
      </c>
      <c r="J51" s="59">
        <f>VLOOKUP(A51,'611'!D:Q,14,FALSE)</f>
        <v>156017.64000000001</v>
      </c>
      <c r="K51" s="59">
        <f>VLOOKUP(A51,'611'!D:Q,14,FALSE)</f>
        <v>156017.64000000001</v>
      </c>
      <c r="O51" t="s">
        <v>531</v>
      </c>
      <c r="P51">
        <f>_xlfn.IFNA(VLOOKUP(A51,IndirectCost!B:L,11,FALSE),"")</f>
        <v>8</v>
      </c>
      <c r="Q51">
        <f t="shared" si="0"/>
        <v>0.08</v>
      </c>
    </row>
    <row r="52" spans="1:17">
      <c r="A52" t="s">
        <v>78</v>
      </c>
      <c r="B52" t="s">
        <v>597</v>
      </c>
      <c r="C52" t="str">
        <f>VLOOKUP(A52,Districts!A:I,9,FALSE)</f>
        <v>Archway Classical Academy Veritas</v>
      </c>
      <c r="D52" t="str">
        <f>VLOOKUP(A52,Districts!A:P,16,FALSE)</f>
        <v>C9MJCQ1MZU29</v>
      </c>
      <c r="E52" t="s">
        <v>528</v>
      </c>
      <c r="F52" s="1">
        <v>45200</v>
      </c>
      <c r="G52" t="s">
        <v>529</v>
      </c>
      <c r="H52" t="s">
        <v>530</v>
      </c>
      <c r="I52" s="59">
        <f>VLOOKUP(A52,'611'!D:F,3,FALSE)</f>
        <v>102047</v>
      </c>
      <c r="J52" s="59">
        <f>VLOOKUP(A52,'611'!D:Q,14,FALSE)</f>
        <v>102047</v>
      </c>
      <c r="K52" s="59">
        <f>VLOOKUP(A52,'611'!D:Q,14,FALSE)</f>
        <v>102047</v>
      </c>
      <c r="O52" t="s">
        <v>531</v>
      </c>
      <c r="P52">
        <f>_xlfn.IFNA(VLOOKUP(A52,IndirectCost!B:L,11,FALSE),"")</f>
        <v>8</v>
      </c>
      <c r="Q52">
        <f t="shared" si="0"/>
        <v>0.08</v>
      </c>
    </row>
    <row r="53" spans="1:17">
      <c r="A53" t="s">
        <v>598</v>
      </c>
      <c r="B53" t="s">
        <v>599</v>
      </c>
      <c r="C53" t="str">
        <f>VLOOKUP(A53,Districts!A:I,9,FALSE)</f>
        <v>Arete Preparatory Academy</v>
      </c>
      <c r="D53" t="str">
        <f>VLOOKUP(A53,Districts!A:P,16,FALSE)</f>
        <v>LYM3LMDX19F7</v>
      </c>
      <c r="E53" t="s">
        <v>528</v>
      </c>
      <c r="F53" s="1">
        <v>45200</v>
      </c>
      <c r="G53" t="s">
        <v>529</v>
      </c>
      <c r="H53" t="s">
        <v>530</v>
      </c>
      <c r="I53" s="59">
        <f>VLOOKUP(A53,'611'!D:F,3,FALSE)</f>
        <v>78336.23</v>
      </c>
      <c r="J53" s="59">
        <f>VLOOKUP(A53,'611'!D:Q,14,FALSE)</f>
        <v>80300.649999999994</v>
      </c>
      <c r="K53" s="59">
        <f>VLOOKUP(A53,'611'!D:Q,14,FALSE)</f>
        <v>80300.649999999994</v>
      </c>
      <c r="O53" t="s">
        <v>531</v>
      </c>
      <c r="P53">
        <f>_xlfn.IFNA(VLOOKUP(A53,IndirectCost!B:L,11,FALSE),"")</f>
        <v>8</v>
      </c>
      <c r="Q53">
        <f t="shared" si="0"/>
        <v>0.08</v>
      </c>
    </row>
    <row r="54" spans="1:17">
      <c r="A54" t="s">
        <v>600</v>
      </c>
      <c r="B54" t="s">
        <v>601</v>
      </c>
      <c r="C54" t="str">
        <f>VLOOKUP(A54,Districts!A:I,9,FALSE)</f>
        <v>Arizona Agribusiness &amp; Equine Center, INC.</v>
      </c>
      <c r="D54" t="str">
        <f>VLOOKUP(A54,Districts!A:P,16,FALSE)</f>
        <v>RG6JEQ7G6RZ8</v>
      </c>
      <c r="E54" t="s">
        <v>528</v>
      </c>
      <c r="F54" s="1">
        <v>45200</v>
      </c>
      <c r="G54" t="s">
        <v>529</v>
      </c>
      <c r="H54" t="s">
        <v>530</v>
      </c>
      <c r="I54" s="59">
        <f>VLOOKUP(A54,'611'!D:F,3,FALSE)</f>
        <v>24882.1</v>
      </c>
      <c r="J54" s="59">
        <f>VLOOKUP(A54,'611'!D:Q,14,FALSE)</f>
        <v>29329.360000000001</v>
      </c>
      <c r="K54" s="59">
        <f>VLOOKUP(A54,'611'!D:Q,14,FALSE)</f>
        <v>29329.360000000001</v>
      </c>
      <c r="O54" t="s">
        <v>531</v>
      </c>
      <c r="P54" t="str">
        <f>_xlfn.IFNA(VLOOKUP(A54,IndirectCost!B:L,11,FALSE),"")</f>
        <v/>
      </c>
      <c r="Q54">
        <f t="shared" si="0"/>
        <v>0</v>
      </c>
    </row>
    <row r="55" spans="1:17">
      <c r="A55" t="s">
        <v>602</v>
      </c>
      <c r="B55" t="s">
        <v>603</v>
      </c>
      <c r="C55" t="str">
        <f>VLOOKUP(A55,Districts!A:I,9,FALSE)</f>
        <v>Arizona Agribusiness &amp; Equine Center, INC.</v>
      </c>
      <c r="D55" t="str">
        <f>VLOOKUP(A55,Districts!A:P,16,FALSE)</f>
        <v>RG6JEQ7G6RZ8</v>
      </c>
      <c r="E55" t="s">
        <v>528</v>
      </c>
      <c r="F55" s="1">
        <v>45200</v>
      </c>
      <c r="G55" t="s">
        <v>529</v>
      </c>
      <c r="H55" t="s">
        <v>530</v>
      </c>
      <c r="I55" s="59">
        <f>VLOOKUP(A55,'611'!D:F,3,FALSE)</f>
        <v>53786.720000000001</v>
      </c>
      <c r="J55" s="59">
        <f>VLOOKUP(A55,'611'!D:Q,14,FALSE)</f>
        <v>119453.62</v>
      </c>
      <c r="K55" s="59">
        <f>VLOOKUP(A55,'611'!D:Q,14,FALSE)</f>
        <v>119453.62</v>
      </c>
      <c r="O55" t="s">
        <v>531</v>
      </c>
      <c r="P55" t="str">
        <f>_xlfn.IFNA(VLOOKUP(A55,IndirectCost!B:L,11,FALSE),"")</f>
        <v/>
      </c>
      <c r="Q55">
        <f t="shared" si="0"/>
        <v>0</v>
      </c>
    </row>
    <row r="56" spans="1:17">
      <c r="A56" t="s">
        <v>604</v>
      </c>
      <c r="B56" t="s">
        <v>603</v>
      </c>
      <c r="C56" t="str">
        <f>VLOOKUP(A56,Districts!A:I,9,FALSE)</f>
        <v>Arizona Agribusiness &amp; Equine Center, INC.</v>
      </c>
      <c r="D56" t="str">
        <f>VLOOKUP(A56,Districts!A:P,16,FALSE)</f>
        <v>RG6JEQ7G6RZ8</v>
      </c>
      <c r="E56" t="s">
        <v>528</v>
      </c>
      <c r="F56" s="1">
        <v>45200</v>
      </c>
      <c r="G56" t="s">
        <v>529</v>
      </c>
      <c r="H56" t="s">
        <v>530</v>
      </c>
      <c r="I56" s="59">
        <f>VLOOKUP(A56,'611'!D:F,3,FALSE)</f>
        <v>42937.33</v>
      </c>
      <c r="J56" s="59">
        <f>VLOOKUP(A56,'611'!D:Q,14,FALSE)</f>
        <v>58401.120000000003</v>
      </c>
      <c r="K56" s="59">
        <f>VLOOKUP(A56,'611'!D:Q,14,FALSE)</f>
        <v>58401.120000000003</v>
      </c>
      <c r="O56" t="s">
        <v>531</v>
      </c>
      <c r="P56" t="str">
        <f>_xlfn.IFNA(VLOOKUP(A56,IndirectCost!B:L,11,FALSE),"")</f>
        <v/>
      </c>
      <c r="Q56">
        <f t="shared" si="0"/>
        <v>0</v>
      </c>
    </row>
    <row r="57" spans="1:17">
      <c r="A57" t="s">
        <v>605</v>
      </c>
      <c r="B57" t="s">
        <v>603</v>
      </c>
      <c r="C57" t="str">
        <f>VLOOKUP(A57,Districts!A:I,9,FALSE)</f>
        <v>Arizona Agribusiness &amp; Equine Center, INC.</v>
      </c>
      <c r="D57" t="str">
        <f>VLOOKUP(A57,Districts!A:P,16,FALSE)</f>
        <v>RG6JEQ7G6RZ8</v>
      </c>
      <c r="E57" t="s">
        <v>528</v>
      </c>
      <c r="F57" s="1">
        <v>45200</v>
      </c>
      <c r="G57" t="s">
        <v>529</v>
      </c>
      <c r="H57" t="s">
        <v>530</v>
      </c>
      <c r="I57" s="59">
        <f>VLOOKUP(A57,'611'!D:F,3,FALSE)</f>
        <v>47728.41</v>
      </c>
      <c r="J57" s="59">
        <f>VLOOKUP(A57,'611'!D:Q,14,FALSE)</f>
        <v>92539.63</v>
      </c>
      <c r="K57" s="59">
        <f>VLOOKUP(A57,'611'!D:Q,14,FALSE)</f>
        <v>92539.63</v>
      </c>
      <c r="O57" t="s">
        <v>531</v>
      </c>
      <c r="P57" t="str">
        <f>_xlfn.IFNA(VLOOKUP(A57,IndirectCost!B:L,11,FALSE),"")</f>
        <v/>
      </c>
      <c r="Q57">
        <f t="shared" si="0"/>
        <v>0</v>
      </c>
    </row>
    <row r="58" spans="1:17">
      <c r="A58" t="s">
        <v>606</v>
      </c>
      <c r="B58" t="s">
        <v>603</v>
      </c>
      <c r="C58" t="str">
        <f>VLOOKUP(A58,Districts!A:I,9,FALSE)</f>
        <v>Arizona Agribusiness &amp; Equine Center, INC.</v>
      </c>
      <c r="D58" t="str">
        <f>VLOOKUP(A58,Districts!A:P,16,FALSE)</f>
        <v>RG6JEQ7G6RZ8</v>
      </c>
      <c r="E58" t="s">
        <v>528</v>
      </c>
      <c r="F58" s="1">
        <v>45200</v>
      </c>
      <c r="G58" t="s">
        <v>529</v>
      </c>
      <c r="H58" t="s">
        <v>530</v>
      </c>
      <c r="I58" s="59">
        <f>VLOOKUP(A58,'611'!D:F,3,FALSE)</f>
        <v>68111.509999999995</v>
      </c>
      <c r="J58" s="59">
        <f>VLOOKUP(A58,'611'!D:Q,14,FALSE)</f>
        <v>111692.8</v>
      </c>
      <c r="K58" s="59">
        <f>VLOOKUP(A58,'611'!D:Q,14,FALSE)</f>
        <v>111692.8</v>
      </c>
      <c r="O58" t="s">
        <v>531</v>
      </c>
      <c r="P58" t="str">
        <f>_xlfn.IFNA(VLOOKUP(A58,IndirectCost!B:L,11,FALSE),"")</f>
        <v/>
      </c>
      <c r="Q58">
        <f t="shared" si="0"/>
        <v>0</v>
      </c>
    </row>
    <row r="59" spans="1:17">
      <c r="A59" t="s">
        <v>79</v>
      </c>
      <c r="B59" t="s">
        <v>607</v>
      </c>
      <c r="C59" t="str">
        <f>VLOOKUP(A59,Districts!A:I,9,FALSE)</f>
        <v>Arizona Autism Charter Schools, Inc.</v>
      </c>
      <c r="D59" t="str">
        <f>VLOOKUP(A59,Districts!A:P,16,FALSE)</f>
        <v>KYEREMYKVBV1</v>
      </c>
      <c r="E59" t="s">
        <v>528</v>
      </c>
      <c r="F59" s="1">
        <v>45200</v>
      </c>
      <c r="G59" t="s">
        <v>529</v>
      </c>
      <c r="H59" t="s">
        <v>530</v>
      </c>
      <c r="I59" s="59">
        <f>VLOOKUP(A59,'611'!D:F,3,FALSE)</f>
        <v>149083.99</v>
      </c>
      <c r="J59" s="59">
        <f>VLOOKUP(A59,'611'!D:Q,14,FALSE)</f>
        <v>149865.74</v>
      </c>
      <c r="K59" s="59">
        <f>VLOOKUP(A59,'611'!D:Q,14,FALSE)</f>
        <v>149865.74</v>
      </c>
      <c r="O59" t="s">
        <v>531</v>
      </c>
      <c r="P59">
        <f>_xlfn.IFNA(VLOOKUP(A59,IndirectCost!B:L,11,FALSE),"")</f>
        <v>0</v>
      </c>
      <c r="Q59">
        <f t="shared" si="0"/>
        <v>0</v>
      </c>
    </row>
    <row r="60" spans="1:17">
      <c r="A60" t="s">
        <v>608</v>
      </c>
      <c r="B60" t="s">
        <v>609</v>
      </c>
      <c r="C60" t="str">
        <f>VLOOKUP(A60,Districts!A:I,9,FALSE)</f>
        <v>Arizona Call-A-Teen Youth Resources, Inc.</v>
      </c>
      <c r="D60" t="str">
        <f>VLOOKUP(A60,Districts!A:P,16,FALSE)</f>
        <v>H52XHJVLB193</v>
      </c>
      <c r="E60" t="s">
        <v>528</v>
      </c>
      <c r="F60" s="1">
        <v>45200</v>
      </c>
      <c r="G60" t="s">
        <v>529</v>
      </c>
      <c r="H60" t="s">
        <v>530</v>
      </c>
      <c r="I60" s="59">
        <f>VLOOKUP(A60,'611'!D:F,3,FALSE)</f>
        <v>20675.52</v>
      </c>
      <c r="J60" s="59">
        <f>VLOOKUP(A60,'611'!D:Q,14,FALSE)</f>
        <v>20675.52</v>
      </c>
      <c r="K60" s="59">
        <f>VLOOKUP(A60,'611'!D:Q,14,FALSE)</f>
        <v>20675.52</v>
      </c>
      <c r="O60" t="s">
        <v>531</v>
      </c>
      <c r="P60" t="str">
        <f>_xlfn.IFNA(VLOOKUP(A60,IndirectCost!B:L,11,FALSE),"")</f>
        <v/>
      </c>
      <c r="Q60">
        <f t="shared" si="0"/>
        <v>0</v>
      </c>
    </row>
    <row r="61" spans="1:17">
      <c r="A61" t="s">
        <v>80</v>
      </c>
      <c r="B61" t="s">
        <v>610</v>
      </c>
      <c r="C61" t="str">
        <f>VLOOKUP(A61,Districts!A:I,9,FALSE)</f>
        <v>Arizona Collaborative Learning Partners, Inc.</v>
      </c>
      <c r="D61">
        <f>VLOOKUP(A61,Districts!A:P,16,FALSE)</f>
        <v>0</v>
      </c>
      <c r="E61" t="s">
        <v>528</v>
      </c>
      <c r="F61" s="1">
        <v>45200</v>
      </c>
      <c r="G61" t="s">
        <v>529</v>
      </c>
      <c r="H61" t="s">
        <v>530</v>
      </c>
      <c r="I61" s="59">
        <f>VLOOKUP(A61,'611'!D:F,3,FALSE)</f>
        <v>14092.31</v>
      </c>
      <c r="J61" s="59">
        <f>VLOOKUP(A61,'611'!D:Q,14,FALSE)</f>
        <v>14092.31</v>
      </c>
      <c r="K61" s="59">
        <f>VLOOKUP(A61,'611'!D:Q,14,FALSE)</f>
        <v>14092.31</v>
      </c>
      <c r="O61" t="s">
        <v>531</v>
      </c>
      <c r="P61" t="str">
        <f>_xlfn.IFNA(VLOOKUP(A61,IndirectCost!B:L,11,FALSE),"")</f>
        <v/>
      </c>
      <c r="Q61">
        <f t="shared" si="0"/>
        <v>0</v>
      </c>
    </row>
    <row r="62" spans="1:17">
      <c r="A62" t="s">
        <v>81</v>
      </c>
      <c r="B62" t="s">
        <v>611</v>
      </c>
      <c r="C62" t="str">
        <f>VLOOKUP(A62,Districts!A:I,9,FALSE)</f>
        <v>ARIZONA COMMUNITY DEVELOPMENT</v>
      </c>
      <c r="D62" t="str">
        <f>VLOOKUP(A62,Districts!A:P,16,FALSE)</f>
        <v>C439P7N3NLH4</v>
      </c>
      <c r="E62" t="s">
        <v>528</v>
      </c>
      <c r="F62" s="1">
        <v>45200</v>
      </c>
      <c r="G62" t="s">
        <v>529</v>
      </c>
      <c r="H62" t="s">
        <v>530</v>
      </c>
      <c r="I62" s="59">
        <f>VLOOKUP(A62,'611'!D:F,3,FALSE)</f>
        <v>353718.04</v>
      </c>
      <c r="J62" s="59">
        <f>VLOOKUP(A62,'611'!D:Q,14,FALSE)</f>
        <v>353718.04</v>
      </c>
      <c r="K62" s="59">
        <f>VLOOKUP(A62,'611'!D:Q,14,FALSE)</f>
        <v>353718.04</v>
      </c>
      <c r="O62" t="s">
        <v>531</v>
      </c>
      <c r="P62" t="str">
        <f>_xlfn.IFNA(VLOOKUP(A62,IndirectCost!B:L,11,FALSE),"")</f>
        <v/>
      </c>
      <c r="Q62">
        <f t="shared" si="0"/>
        <v>0</v>
      </c>
    </row>
    <row r="63" spans="1:17">
      <c r="A63" t="s">
        <v>82</v>
      </c>
      <c r="B63" t="s">
        <v>612</v>
      </c>
      <c r="C63" t="str">
        <f>VLOOKUP(A63,Districts!A:I,9,FALSE)</f>
        <v>ARIZONA CONNECTIONS ACADEMY CHARTER SCHOOL</v>
      </c>
      <c r="D63" t="str">
        <f>VLOOKUP(A63,Districts!A:P,16,FALSE)</f>
        <v>PJ8BGN3SWZX5</v>
      </c>
      <c r="E63" t="s">
        <v>528</v>
      </c>
      <c r="F63" s="1">
        <v>45200</v>
      </c>
      <c r="G63" t="s">
        <v>529</v>
      </c>
      <c r="H63" t="s">
        <v>530</v>
      </c>
      <c r="I63" s="59">
        <f>VLOOKUP(A63,'611'!D:F,3,FALSE)</f>
        <v>382962.32</v>
      </c>
      <c r="J63" s="59">
        <f>VLOOKUP(A63,'611'!D:Q,14,FALSE)</f>
        <v>382962.32</v>
      </c>
      <c r="K63" s="59">
        <f>VLOOKUP(A63,'611'!D:Q,14,FALSE)</f>
        <v>382962.32</v>
      </c>
      <c r="O63" t="s">
        <v>531</v>
      </c>
      <c r="P63" t="str">
        <f>_xlfn.IFNA(VLOOKUP(A63,IndirectCost!B:L,11,FALSE),"")</f>
        <v/>
      </c>
      <c r="Q63">
        <f t="shared" si="0"/>
        <v>0</v>
      </c>
    </row>
    <row r="64" spans="1:17">
      <c r="A64" t="s">
        <v>613</v>
      </c>
      <c r="B64" t="s">
        <v>614</v>
      </c>
      <c r="C64" t="str">
        <f>VLOOKUP(A64,Districts!A:I,9,FALSE)</f>
        <v>State Of Arizona-Dept Of Arizona Depart Of Corrections</v>
      </c>
      <c r="D64" t="str">
        <f>VLOOKUP(A64,Districts!A:P,16,FALSE)</f>
        <v>WZBTSTM7NG64</v>
      </c>
      <c r="E64" t="s">
        <v>528</v>
      </c>
      <c r="F64" s="1">
        <v>45200</v>
      </c>
      <c r="G64" t="s">
        <v>529</v>
      </c>
      <c r="H64" t="s">
        <v>530</v>
      </c>
      <c r="I64" s="59">
        <f>VLOOKUP(A64,'611'!D:F,3,FALSE)</f>
        <v>82188.09</v>
      </c>
      <c r="J64" s="59">
        <f>VLOOKUP(A64,'611'!D:Q,14,FALSE)</f>
        <v>158663.14000000001</v>
      </c>
      <c r="K64" s="59">
        <f>VLOOKUP(A64,'611'!D:Q,14,FALSE)</f>
        <v>158663.14000000001</v>
      </c>
      <c r="O64" t="s">
        <v>531</v>
      </c>
      <c r="P64">
        <f>_xlfn.IFNA(VLOOKUP(A64,IndirectCost!B:L,11,FALSE),"")</f>
        <v>0</v>
      </c>
      <c r="Q64">
        <f t="shared" si="0"/>
        <v>0</v>
      </c>
    </row>
    <row r="65" spans="1:17">
      <c r="A65" t="s">
        <v>615</v>
      </c>
      <c r="B65" t="s">
        <v>616</v>
      </c>
      <c r="C65" t="str">
        <f>VLOOKUP(A65,Districts!A:I,9,FALSE)</f>
        <v>Arizona Department of Education</v>
      </c>
      <c r="D65">
        <f>VLOOKUP(A65,Districts!A:P,16,FALSE)</f>
        <v>0</v>
      </c>
      <c r="E65" t="s">
        <v>528</v>
      </c>
      <c r="F65" s="1">
        <v>45200</v>
      </c>
      <c r="G65" t="s">
        <v>529</v>
      </c>
      <c r="H65" t="s">
        <v>530</v>
      </c>
      <c r="I65" s="59">
        <f>VLOOKUP(A65,'611'!D:F,3,FALSE)</f>
        <v>0</v>
      </c>
      <c r="J65" s="59">
        <f>VLOOKUP(A65,'611'!D:Q,14,FALSE)</f>
        <v>0</v>
      </c>
      <c r="K65" s="59">
        <f>VLOOKUP(A65,'611'!D:Q,14,FALSE)</f>
        <v>0</v>
      </c>
      <c r="O65" t="s">
        <v>531</v>
      </c>
      <c r="P65" t="str">
        <f>_xlfn.IFNA(VLOOKUP(A65,IndirectCost!B:L,11,FALSE),"")</f>
        <v/>
      </c>
      <c r="Q65">
        <f t="shared" si="0"/>
        <v>0</v>
      </c>
    </row>
    <row r="66" spans="1:17">
      <c r="A66" t="s">
        <v>83</v>
      </c>
      <c r="B66" t="s">
        <v>617</v>
      </c>
      <c r="C66" t="str">
        <f>VLOOKUP(A66,Districts!A:I,9,FALSE)</f>
        <v>Arizona Education Solutions</v>
      </c>
      <c r="D66" t="str">
        <f>VLOOKUP(A66,Districts!A:P,16,FALSE)</f>
        <v>YCH3YXL4TXY7</v>
      </c>
      <c r="E66" t="s">
        <v>528</v>
      </c>
      <c r="F66" s="1">
        <v>45200</v>
      </c>
      <c r="G66" t="s">
        <v>529</v>
      </c>
      <c r="H66" t="s">
        <v>530</v>
      </c>
      <c r="I66" s="59">
        <f>VLOOKUP(A66,'611'!D:F,3,FALSE)</f>
        <v>171384.92</v>
      </c>
      <c r="J66" s="59">
        <f>VLOOKUP(A66,'611'!D:Q,14,FALSE)</f>
        <v>171384.92</v>
      </c>
      <c r="K66" s="59">
        <f>VLOOKUP(A66,'611'!D:Q,14,FALSE)</f>
        <v>171384.92</v>
      </c>
      <c r="O66" t="s">
        <v>531</v>
      </c>
      <c r="P66">
        <f>_xlfn.IFNA(VLOOKUP(A66,IndirectCost!B:L,11,FALSE),"")</f>
        <v>8</v>
      </c>
      <c r="Q66">
        <f t="shared" si="0"/>
        <v>0.08</v>
      </c>
    </row>
    <row r="67" spans="1:17">
      <c r="A67" t="s">
        <v>618</v>
      </c>
      <c r="B67" t="s">
        <v>619</v>
      </c>
      <c r="C67">
        <f>VLOOKUP(A67,Districts!A:I,9,FALSE)</f>
        <v>0</v>
      </c>
      <c r="D67">
        <f>VLOOKUP(A67,Districts!A:P,16,FALSE)</f>
        <v>0</v>
      </c>
      <c r="E67" t="s">
        <v>528</v>
      </c>
      <c r="F67" s="1">
        <v>45200</v>
      </c>
      <c r="G67" t="s">
        <v>529</v>
      </c>
      <c r="H67" t="s">
        <v>530</v>
      </c>
      <c r="I67" s="59">
        <f>VLOOKUP(A67,'611'!D:F,3,FALSE)</f>
        <v>1866.12</v>
      </c>
      <c r="J67" s="59">
        <f>VLOOKUP(A67,'611'!D:Q,14,FALSE)</f>
        <v>1866.12</v>
      </c>
      <c r="K67" s="59">
        <f>VLOOKUP(A67,'611'!D:Q,14,FALSE)</f>
        <v>1866.12</v>
      </c>
      <c r="O67" t="s">
        <v>531</v>
      </c>
      <c r="P67" t="str">
        <f>_xlfn.IFNA(VLOOKUP(A67,IndirectCost!B:L,11,FALSE),"")</f>
        <v/>
      </c>
      <c r="Q67">
        <f t="shared" si="0"/>
        <v>0</v>
      </c>
    </row>
    <row r="68" spans="1:17">
      <c r="A68" t="s">
        <v>84</v>
      </c>
      <c r="B68" t="s">
        <v>620</v>
      </c>
      <c r="C68" t="str">
        <f>VLOOKUP(A68,Districts!A:I,9,FALSE)</f>
        <v>Arizona Language Preparatory</v>
      </c>
      <c r="D68" t="str">
        <f>VLOOKUP(A68,Districts!A:P,16,FALSE)</f>
        <v>MXLBDCMLRLT7</v>
      </c>
      <c r="E68" t="s">
        <v>528</v>
      </c>
      <c r="F68" s="1">
        <v>45200</v>
      </c>
      <c r="G68" t="s">
        <v>529</v>
      </c>
      <c r="H68" t="s">
        <v>530</v>
      </c>
      <c r="I68" s="59">
        <f>VLOOKUP(A68,'611'!D:F,3,FALSE)</f>
        <v>12282.91</v>
      </c>
      <c r="J68" s="59">
        <f>VLOOKUP(A68,'611'!D:Q,14,FALSE)</f>
        <v>14121.66</v>
      </c>
      <c r="K68" s="59">
        <f>VLOOKUP(A68,'611'!D:Q,14,FALSE)</f>
        <v>14121.66</v>
      </c>
      <c r="O68" t="s">
        <v>531</v>
      </c>
      <c r="P68" t="str">
        <f>_xlfn.IFNA(VLOOKUP(A68,IndirectCost!B:L,11,FALSE),"")</f>
        <v/>
      </c>
      <c r="Q68">
        <f t="shared" ref="Q68:Q131" si="1">IFERROR(P68/100,0)</f>
        <v>0</v>
      </c>
    </row>
    <row r="69" spans="1:17">
      <c r="A69" t="s">
        <v>85</v>
      </c>
      <c r="B69" t="s">
        <v>621</v>
      </c>
      <c r="C69" t="str">
        <f>VLOOKUP(A69,Districts!A:I,9,FALSE)</f>
        <v>Arizona Language Schools</v>
      </c>
      <c r="D69" t="str">
        <f>VLOOKUP(A69,Districts!A:P,16,FALSE)</f>
        <v>LR2NFC4ENQF6</v>
      </c>
      <c r="E69" t="s">
        <v>528</v>
      </c>
      <c r="F69" s="1">
        <v>45200</v>
      </c>
      <c r="G69" t="s">
        <v>529</v>
      </c>
      <c r="H69" t="s">
        <v>530</v>
      </c>
      <c r="I69" s="59">
        <f>VLOOKUP(A69,'611'!D:F,3,FALSE)</f>
        <v>6001.01</v>
      </c>
      <c r="J69" s="59">
        <f>VLOOKUP(A69,'611'!D:Q,14,FALSE)</f>
        <v>0</v>
      </c>
      <c r="K69" s="59">
        <f>VLOOKUP(A69,'611'!D:Q,14,FALSE)</f>
        <v>0</v>
      </c>
      <c r="O69" t="s">
        <v>531</v>
      </c>
      <c r="P69">
        <f>_xlfn.IFNA(VLOOKUP(A69,IndirectCost!B:L,11,FALSE),"")</f>
        <v>8</v>
      </c>
      <c r="Q69">
        <f t="shared" si="1"/>
        <v>0.08</v>
      </c>
    </row>
    <row r="70" spans="1:17">
      <c r="A70" t="s">
        <v>622</v>
      </c>
      <c r="B70" t="s">
        <v>623</v>
      </c>
      <c r="C70" t="str">
        <f>VLOOKUP(A70,Districts!A:I,9,FALSE)</f>
        <v>Arizona School For the Arts</v>
      </c>
      <c r="D70" t="str">
        <f>VLOOKUP(A70,Districts!A:P,16,FALSE)</f>
        <v>FQ22B4EAL8F3</v>
      </c>
      <c r="E70" t="s">
        <v>528</v>
      </c>
      <c r="F70" s="1">
        <v>45200</v>
      </c>
      <c r="G70" t="s">
        <v>529</v>
      </c>
      <c r="H70" t="s">
        <v>530</v>
      </c>
      <c r="I70" s="59">
        <f>VLOOKUP(A70,'611'!D:F,3,FALSE)</f>
        <v>113395.04</v>
      </c>
      <c r="J70" s="59">
        <f>VLOOKUP(A70,'611'!D:Q,14,FALSE)</f>
        <v>113395.04</v>
      </c>
      <c r="K70" s="59">
        <f>VLOOKUP(A70,'611'!D:Q,14,FALSE)</f>
        <v>113395.04</v>
      </c>
      <c r="O70" t="s">
        <v>531</v>
      </c>
      <c r="P70" t="str">
        <f>_xlfn.IFNA(VLOOKUP(A70,IndirectCost!B:L,11,FALSE),"")</f>
        <v/>
      </c>
      <c r="Q70">
        <f t="shared" si="1"/>
        <v>0</v>
      </c>
    </row>
    <row r="71" spans="1:17">
      <c r="A71" t="s">
        <v>86</v>
      </c>
      <c r="B71" t="s">
        <v>624</v>
      </c>
      <c r="C71" t="str">
        <f>VLOOKUP(A71,Districts!A:I,9,FALSE)</f>
        <v>ARIZONA DEPT. OF EDUCATION dba Arizona State School For The Deaf &amp; The Blind</v>
      </c>
      <c r="D71" t="str">
        <f>VLOOKUP(A71,Districts!A:P,16,FALSE)</f>
        <v>WKRWG1FNUN75</v>
      </c>
      <c r="E71" t="s">
        <v>528</v>
      </c>
      <c r="F71" s="1">
        <v>45200</v>
      </c>
      <c r="G71" t="s">
        <v>529</v>
      </c>
      <c r="H71" t="s">
        <v>530</v>
      </c>
      <c r="I71" s="59">
        <f>VLOOKUP(A71,'611'!D:F,3,FALSE)</f>
        <v>197358.45</v>
      </c>
      <c r="J71" s="59">
        <f>VLOOKUP(A71,'611'!D:Q,14,FALSE)</f>
        <v>210640.79</v>
      </c>
      <c r="K71" s="59">
        <f>VLOOKUP(A71,'611'!D:Q,14,FALSE)</f>
        <v>210640.79</v>
      </c>
      <c r="O71" t="s">
        <v>531</v>
      </c>
      <c r="P71" t="str">
        <f>_xlfn.IFNA(VLOOKUP(A71,IndirectCost!B:L,11,FALSE),"")</f>
        <v/>
      </c>
      <c r="Q71">
        <f t="shared" si="1"/>
        <v>0</v>
      </c>
    </row>
    <row r="72" spans="1:17">
      <c r="A72" t="s">
        <v>87</v>
      </c>
      <c r="B72" t="s">
        <v>625</v>
      </c>
      <c r="C72" t="str">
        <f>VLOOKUP(A72,Districts!A:I,9,FALSE)</f>
        <v>ARLINGTON SCHOOL DISTRICT 47</v>
      </c>
      <c r="D72" t="str">
        <f>VLOOKUP(A72,Districts!A:P,16,FALSE)</f>
        <v>QA78CNCFGMM1</v>
      </c>
      <c r="E72" t="s">
        <v>528</v>
      </c>
      <c r="F72" s="1">
        <v>45200</v>
      </c>
      <c r="G72" t="s">
        <v>529</v>
      </c>
      <c r="H72" t="s">
        <v>530</v>
      </c>
      <c r="I72" s="59">
        <f>VLOOKUP(A72,'611'!D:F,3,FALSE)</f>
        <v>51965.57</v>
      </c>
      <c r="J72" s="59">
        <f>VLOOKUP(A72,'611'!D:Q,14,FALSE)</f>
        <v>51965.57</v>
      </c>
      <c r="K72" s="59">
        <f>VLOOKUP(A72,'611'!D:Q,14,FALSE)</f>
        <v>51965.57</v>
      </c>
      <c r="O72" t="s">
        <v>531</v>
      </c>
      <c r="P72">
        <f>_xlfn.IFNA(VLOOKUP(A72,IndirectCost!B:L,11,FALSE),"")</f>
        <v>8</v>
      </c>
      <c r="Q72">
        <f t="shared" si="1"/>
        <v>0.08</v>
      </c>
    </row>
    <row r="73" spans="1:17">
      <c r="A73" t="s">
        <v>88</v>
      </c>
      <c r="B73" t="s">
        <v>626</v>
      </c>
      <c r="C73" t="str">
        <f>VLOOKUP(A73,Districts!A:I,9,FALSE)</f>
        <v>Ash Creek Elem School Dist 53</v>
      </c>
      <c r="D73" t="str">
        <f>VLOOKUP(A73,Districts!A:P,16,FALSE)</f>
        <v>K4DAG2CC85J6</v>
      </c>
      <c r="E73" t="s">
        <v>528</v>
      </c>
      <c r="F73" s="1">
        <v>45200</v>
      </c>
      <c r="G73" t="s">
        <v>529</v>
      </c>
      <c r="H73" t="s">
        <v>530</v>
      </c>
      <c r="I73" s="59">
        <f>VLOOKUP(A73,'611'!D:F,3,FALSE)</f>
        <v>10378.33</v>
      </c>
      <c r="J73" s="59">
        <f>VLOOKUP(A73,'611'!D:Q,14,FALSE)</f>
        <v>10378.33</v>
      </c>
      <c r="K73" s="59">
        <f>VLOOKUP(A73,'611'!D:Q,14,FALSE)</f>
        <v>10378.33</v>
      </c>
      <c r="O73" t="s">
        <v>531</v>
      </c>
      <c r="P73" t="str">
        <f>_xlfn.IFNA(VLOOKUP(A73,IndirectCost!B:L,11,FALSE),"")</f>
        <v/>
      </c>
      <c r="Q73">
        <f t="shared" si="1"/>
        <v>0</v>
      </c>
    </row>
    <row r="74" spans="1:17">
      <c r="A74" t="s">
        <v>89</v>
      </c>
      <c r="B74" t="s">
        <v>627</v>
      </c>
      <c r="C74" t="str">
        <f>VLOOKUP(A74,Districts!A:I,9,FALSE)</f>
        <v>Ash Fork School District 31</v>
      </c>
      <c r="D74" t="str">
        <f>VLOOKUP(A74,Districts!A:P,16,FALSE)</f>
        <v>U129YMJMGZY6</v>
      </c>
      <c r="E74" t="s">
        <v>528</v>
      </c>
      <c r="F74" s="1">
        <v>45200</v>
      </c>
      <c r="G74" t="s">
        <v>529</v>
      </c>
      <c r="H74" t="s">
        <v>530</v>
      </c>
      <c r="I74" s="59">
        <f>VLOOKUP(A74,'611'!D:F,3,FALSE)</f>
        <v>59796.49</v>
      </c>
      <c r="J74" s="59">
        <f>VLOOKUP(A74,'611'!D:Q,14,FALSE)</f>
        <v>59796.49</v>
      </c>
      <c r="K74" s="59">
        <f>VLOOKUP(A74,'611'!D:Q,14,FALSE)</f>
        <v>59796.49</v>
      </c>
      <c r="O74" t="s">
        <v>531</v>
      </c>
      <c r="P74">
        <f>_xlfn.IFNA(VLOOKUP(A74,IndirectCost!B:L,11,FALSE),"")</f>
        <v>2.38</v>
      </c>
      <c r="Q74">
        <f t="shared" si="1"/>
        <v>2.3799999999999998E-2</v>
      </c>
    </row>
    <row r="75" spans="1:17">
      <c r="A75" t="s">
        <v>628</v>
      </c>
      <c r="B75" t="s">
        <v>629</v>
      </c>
      <c r="C75" t="str">
        <f>VLOOKUP(A75,Districts!A:I,9,FALSE)</f>
        <v>ASU Preparatory Academy</v>
      </c>
      <c r="D75" t="str">
        <f>VLOOKUP(A75,Districts!A:P,16,FALSE)</f>
        <v>QBFJRMDBZRE3</v>
      </c>
      <c r="E75" t="s">
        <v>528</v>
      </c>
      <c r="F75" s="1">
        <v>45200</v>
      </c>
      <c r="G75" t="s">
        <v>529</v>
      </c>
      <c r="H75" t="s">
        <v>530</v>
      </c>
      <c r="I75" s="59">
        <f>VLOOKUP(A75,'611'!D:F,3,FALSE)</f>
        <v>30760.82</v>
      </c>
      <c r="J75" s="59">
        <f>VLOOKUP(A75,'611'!D:Q,14,FALSE)</f>
        <v>30760.82</v>
      </c>
      <c r="K75" s="59">
        <f>VLOOKUP(A75,'611'!D:Q,14,FALSE)</f>
        <v>30760.82</v>
      </c>
      <c r="O75" t="s">
        <v>531</v>
      </c>
      <c r="P75">
        <f>_xlfn.IFNA(VLOOKUP(A75,IndirectCost!B:L,11,FALSE),"")</f>
        <v>8</v>
      </c>
      <c r="Q75">
        <f t="shared" si="1"/>
        <v>0.08</v>
      </c>
    </row>
    <row r="76" spans="1:17">
      <c r="A76" t="s">
        <v>93</v>
      </c>
      <c r="B76" t="s">
        <v>630</v>
      </c>
      <c r="C76" t="str">
        <f>VLOOKUP(A76,Districts!A:I,9,FALSE)</f>
        <v>ASU Preparatory Academy</v>
      </c>
      <c r="D76" t="str">
        <f>VLOOKUP(A76,Districts!A:P,16,FALSE)</f>
        <v>QBFJRMDBZRE3</v>
      </c>
      <c r="E76" t="s">
        <v>528</v>
      </c>
      <c r="F76" s="1">
        <v>45200</v>
      </c>
      <c r="G76" t="s">
        <v>529</v>
      </c>
      <c r="H76" t="s">
        <v>530</v>
      </c>
      <c r="I76" s="59">
        <f>VLOOKUP(A76,'611'!D:F,3,FALSE)</f>
        <v>445632.91</v>
      </c>
      <c r="J76" s="59">
        <f>VLOOKUP(A76,'611'!D:Q,14,FALSE)</f>
        <v>552898.64</v>
      </c>
      <c r="K76" s="59">
        <f>VLOOKUP(A76,'611'!D:Q,14,FALSE)</f>
        <v>552898.64</v>
      </c>
      <c r="O76" t="s">
        <v>531</v>
      </c>
      <c r="P76">
        <f>_xlfn.IFNA(VLOOKUP(A76,IndirectCost!B:L,11,FALSE),"")</f>
        <v>8</v>
      </c>
      <c r="Q76">
        <f t="shared" si="1"/>
        <v>0.08</v>
      </c>
    </row>
    <row r="77" spans="1:17">
      <c r="A77" t="s">
        <v>631</v>
      </c>
      <c r="B77" t="s">
        <v>632</v>
      </c>
      <c r="C77" t="str">
        <f>VLOOKUP(A77,Districts!A:I,9,FALSE)</f>
        <v>ASU Preparatory Academy</v>
      </c>
      <c r="D77" t="str">
        <f>VLOOKUP(A77,Districts!A:P,16,FALSE)</f>
        <v>QBFJRMDBZRE3</v>
      </c>
      <c r="E77" t="s">
        <v>528</v>
      </c>
      <c r="F77" s="1">
        <v>45200</v>
      </c>
      <c r="G77" t="s">
        <v>529</v>
      </c>
      <c r="H77" t="s">
        <v>530</v>
      </c>
      <c r="I77" s="59">
        <f>VLOOKUP(A77,'611'!D:F,3,FALSE)</f>
        <v>37127.910000000003</v>
      </c>
      <c r="J77" s="59">
        <f>VLOOKUP(A77,'611'!D:Q,14,FALSE)</f>
        <v>37130.050000000003</v>
      </c>
      <c r="K77" s="59">
        <f>VLOOKUP(A77,'611'!D:Q,14,FALSE)</f>
        <v>37130.050000000003</v>
      </c>
      <c r="O77" t="s">
        <v>531</v>
      </c>
      <c r="P77">
        <f>_xlfn.IFNA(VLOOKUP(A77,IndirectCost!B:L,11,FALSE),"")</f>
        <v>8</v>
      </c>
      <c r="Q77">
        <f t="shared" si="1"/>
        <v>0.08</v>
      </c>
    </row>
    <row r="78" spans="1:17">
      <c r="A78" t="s">
        <v>633</v>
      </c>
      <c r="B78" t="s">
        <v>632</v>
      </c>
      <c r="C78" t="str">
        <f>VLOOKUP(A78,Districts!A:I,9,FALSE)</f>
        <v>ASU Preparatory Academy</v>
      </c>
      <c r="D78" t="str">
        <f>VLOOKUP(A78,Districts!A:P,16,FALSE)</f>
        <v>QBFJRMDBZRE3</v>
      </c>
      <c r="E78" t="s">
        <v>528</v>
      </c>
      <c r="F78" s="1">
        <v>45200</v>
      </c>
      <c r="G78" t="s">
        <v>529</v>
      </c>
      <c r="H78" t="s">
        <v>530</v>
      </c>
      <c r="I78" s="59">
        <f>VLOOKUP(A78,'611'!D:F,3,FALSE)</f>
        <v>44879.11</v>
      </c>
      <c r="J78" s="59">
        <f>VLOOKUP(A78,'611'!D:Q,14,FALSE)</f>
        <v>49011.85</v>
      </c>
      <c r="K78" s="59">
        <f>VLOOKUP(A78,'611'!D:Q,14,FALSE)</f>
        <v>49011.85</v>
      </c>
      <c r="O78" t="s">
        <v>531</v>
      </c>
      <c r="P78">
        <f>_xlfn.IFNA(VLOOKUP(A78,IndirectCost!B:L,11,FALSE),"")</f>
        <v>8</v>
      </c>
      <c r="Q78">
        <f t="shared" si="1"/>
        <v>0.08</v>
      </c>
    </row>
    <row r="79" spans="1:17">
      <c r="A79" t="s">
        <v>91</v>
      </c>
      <c r="B79" t="s">
        <v>632</v>
      </c>
      <c r="C79" t="str">
        <f>VLOOKUP(A79,Districts!A:I,9,FALSE)</f>
        <v>ASU Preparatory Academy</v>
      </c>
      <c r="D79" t="str">
        <f>VLOOKUP(A79,Districts!A:P,16,FALSE)</f>
        <v>QBFJRMDBZRE3</v>
      </c>
      <c r="E79" t="s">
        <v>528</v>
      </c>
      <c r="F79" s="1">
        <v>45200</v>
      </c>
      <c r="G79" t="s">
        <v>529</v>
      </c>
      <c r="H79" t="s">
        <v>530</v>
      </c>
      <c r="I79" s="59">
        <f>VLOOKUP(A79,'611'!D:F,3,FALSE)</f>
        <v>15296.52</v>
      </c>
      <c r="J79" s="59">
        <f>VLOOKUP(A79,'611'!D:Q,14,FALSE)</f>
        <v>15296.52</v>
      </c>
      <c r="K79" s="59">
        <f>VLOOKUP(A79,'611'!D:Q,14,FALSE)</f>
        <v>15296.52</v>
      </c>
      <c r="O79" t="s">
        <v>531</v>
      </c>
      <c r="P79">
        <f>_xlfn.IFNA(VLOOKUP(A79,IndirectCost!B:L,11,FALSE),"")</f>
        <v>8</v>
      </c>
      <c r="Q79">
        <f t="shared" si="1"/>
        <v>0.08</v>
      </c>
    </row>
    <row r="80" spans="1:17">
      <c r="A80" t="s">
        <v>634</v>
      </c>
      <c r="B80" t="s">
        <v>632</v>
      </c>
      <c r="C80" t="str">
        <f>VLOOKUP(A80,Districts!A:I,9,FALSE)</f>
        <v>ASU Preparatory Academy</v>
      </c>
      <c r="D80" t="str">
        <f>VLOOKUP(A80,Districts!A:P,16,FALSE)</f>
        <v>QBFJRMDBZRE3</v>
      </c>
      <c r="E80" t="s">
        <v>528</v>
      </c>
      <c r="F80" s="1">
        <v>45200</v>
      </c>
      <c r="G80" t="s">
        <v>529</v>
      </c>
      <c r="H80" t="s">
        <v>530</v>
      </c>
      <c r="I80" s="59">
        <f>VLOOKUP(A80,'611'!D:F,3,FALSE)</f>
        <v>19181.64</v>
      </c>
      <c r="J80" s="59">
        <f>VLOOKUP(A80,'611'!D:Q,14,FALSE)</f>
        <v>19181.64</v>
      </c>
      <c r="K80" s="59">
        <f>VLOOKUP(A80,'611'!D:Q,14,FALSE)</f>
        <v>19181.64</v>
      </c>
      <c r="O80" t="s">
        <v>531</v>
      </c>
      <c r="P80">
        <f>_xlfn.IFNA(VLOOKUP(A80,IndirectCost!B:L,11,FALSE),"")</f>
        <v>8</v>
      </c>
      <c r="Q80">
        <f t="shared" si="1"/>
        <v>0.08</v>
      </c>
    </row>
    <row r="81" spans="1:17">
      <c r="A81" t="s">
        <v>635</v>
      </c>
      <c r="B81" t="s">
        <v>632</v>
      </c>
      <c r="C81" t="str">
        <f>VLOOKUP(A81,Districts!A:I,9,FALSE)</f>
        <v>ASU Preparatory Academy</v>
      </c>
      <c r="D81" t="str">
        <f>VLOOKUP(A81,Districts!A:P,16,FALSE)</f>
        <v>QBFJRMDBZRE3</v>
      </c>
      <c r="E81" t="s">
        <v>528</v>
      </c>
      <c r="F81" s="1">
        <v>45200</v>
      </c>
      <c r="G81" t="s">
        <v>529</v>
      </c>
      <c r="H81" t="s">
        <v>530</v>
      </c>
      <c r="I81" s="59">
        <f>VLOOKUP(A81,'611'!D:F,3,FALSE)</f>
        <v>55431.68</v>
      </c>
      <c r="J81" s="59">
        <f>VLOOKUP(A81,'611'!D:Q,14,FALSE)</f>
        <v>60045.18</v>
      </c>
      <c r="K81" s="59">
        <f>VLOOKUP(A81,'611'!D:Q,14,FALSE)</f>
        <v>60045.18</v>
      </c>
      <c r="O81" t="s">
        <v>531</v>
      </c>
      <c r="P81">
        <f>_xlfn.IFNA(VLOOKUP(A81,IndirectCost!B:L,11,FALSE),"")</f>
        <v>8</v>
      </c>
      <c r="Q81">
        <f t="shared" si="1"/>
        <v>0.08</v>
      </c>
    </row>
    <row r="82" spans="1:17">
      <c r="A82" t="s">
        <v>636</v>
      </c>
      <c r="B82" t="s">
        <v>632</v>
      </c>
      <c r="C82" t="str">
        <f>VLOOKUP(A82,Districts!A:I,9,FALSE)</f>
        <v>ASU Preparatory Academy</v>
      </c>
      <c r="D82" t="str">
        <f>VLOOKUP(A82,Districts!A:P,16,FALSE)</f>
        <v>QBFJRMDBZRE3</v>
      </c>
      <c r="E82" t="s">
        <v>528</v>
      </c>
      <c r="F82" s="1">
        <v>45200</v>
      </c>
      <c r="G82" t="s">
        <v>529</v>
      </c>
      <c r="H82" t="s">
        <v>530</v>
      </c>
      <c r="I82" s="59">
        <f>VLOOKUP(A82,'611'!D:F,3,FALSE)</f>
        <v>67718.06</v>
      </c>
      <c r="J82" s="59">
        <f>VLOOKUP(A82,'611'!D:Q,14,FALSE)</f>
        <v>74383.320000000007</v>
      </c>
      <c r="K82" s="59">
        <f>VLOOKUP(A82,'611'!D:Q,14,FALSE)</f>
        <v>74383.320000000007</v>
      </c>
      <c r="O82" t="s">
        <v>531</v>
      </c>
      <c r="P82">
        <f>_xlfn.IFNA(VLOOKUP(A82,IndirectCost!B:L,11,FALSE),"")</f>
        <v>8</v>
      </c>
      <c r="Q82">
        <f t="shared" si="1"/>
        <v>0.08</v>
      </c>
    </row>
    <row r="83" spans="1:17">
      <c r="A83" t="s">
        <v>637</v>
      </c>
      <c r="B83" t="s">
        <v>632</v>
      </c>
      <c r="C83" t="str">
        <f>VLOOKUP(A83,Districts!A:I,9,FALSE)</f>
        <v>ASU Preparatory Academy</v>
      </c>
      <c r="D83" t="str">
        <f>VLOOKUP(A83,Districts!A:P,16,FALSE)</f>
        <v>QBFJRMDBZRE3</v>
      </c>
      <c r="E83" t="s">
        <v>528</v>
      </c>
      <c r="F83" s="1">
        <v>45200</v>
      </c>
      <c r="G83" t="s">
        <v>529</v>
      </c>
      <c r="H83" t="s">
        <v>530</v>
      </c>
      <c r="I83" s="59">
        <f>VLOOKUP(A83,'611'!D:F,3,FALSE)</f>
        <v>59399.57</v>
      </c>
      <c r="J83" s="59">
        <f>VLOOKUP(A83,'611'!D:Q,14,FALSE)</f>
        <v>62218.8</v>
      </c>
      <c r="K83" s="59">
        <f>VLOOKUP(A83,'611'!D:Q,14,FALSE)</f>
        <v>62218.8</v>
      </c>
      <c r="O83" t="s">
        <v>531</v>
      </c>
      <c r="P83">
        <f>_xlfn.IFNA(VLOOKUP(A83,IndirectCost!B:L,11,FALSE),"")</f>
        <v>8</v>
      </c>
      <c r="Q83">
        <f t="shared" si="1"/>
        <v>0.08</v>
      </c>
    </row>
    <row r="84" spans="1:17">
      <c r="A84" t="s">
        <v>90</v>
      </c>
      <c r="B84" t="s">
        <v>632</v>
      </c>
      <c r="C84" t="str">
        <f>VLOOKUP(A84,Districts!A:I,9,FALSE)</f>
        <v>ASU Preparatory Academy</v>
      </c>
      <c r="D84" t="str">
        <f>VLOOKUP(A84,Districts!A:P,16,FALSE)</f>
        <v>QBFJRMDBZRE3</v>
      </c>
      <c r="E84" t="s">
        <v>528</v>
      </c>
      <c r="F84" s="1">
        <v>45200</v>
      </c>
      <c r="G84" t="s">
        <v>529</v>
      </c>
      <c r="H84" t="s">
        <v>530</v>
      </c>
      <c r="I84" s="59">
        <f>VLOOKUP(A84,'611'!D:F,3,FALSE)</f>
        <v>66784.84</v>
      </c>
      <c r="J84" s="59">
        <f>VLOOKUP(A84,'611'!D:Q,14,FALSE)</f>
        <v>66784.84</v>
      </c>
      <c r="K84" s="59">
        <f>VLOOKUP(A84,'611'!D:Q,14,FALSE)</f>
        <v>66784.84</v>
      </c>
      <c r="O84" t="s">
        <v>531</v>
      </c>
      <c r="P84">
        <f>_xlfn.IFNA(VLOOKUP(A84,IndirectCost!B:L,11,FALSE),"")</f>
        <v>8</v>
      </c>
      <c r="Q84">
        <f t="shared" si="1"/>
        <v>0.08</v>
      </c>
    </row>
    <row r="85" spans="1:17">
      <c r="A85" t="s">
        <v>92</v>
      </c>
      <c r="B85" t="s">
        <v>632</v>
      </c>
      <c r="C85" t="str">
        <f>VLOOKUP(A85,Districts!A:I,9,FALSE)</f>
        <v>ASU Preparatory Academy</v>
      </c>
      <c r="D85" t="str">
        <f>VLOOKUP(A85,Districts!A:P,16,FALSE)</f>
        <v>QBFJRMDBZRE3</v>
      </c>
      <c r="E85" t="s">
        <v>528</v>
      </c>
      <c r="F85" s="1">
        <v>45200</v>
      </c>
      <c r="G85" t="s">
        <v>529</v>
      </c>
      <c r="H85" t="s">
        <v>530</v>
      </c>
      <c r="I85" s="59">
        <f>VLOOKUP(A85,'611'!D:F,3,FALSE)</f>
        <v>82897.2</v>
      </c>
      <c r="J85" s="59">
        <f>VLOOKUP(A85,'611'!D:Q,14,FALSE)</f>
        <v>87387.32</v>
      </c>
      <c r="K85" s="59">
        <f>VLOOKUP(A85,'611'!D:Q,14,FALSE)</f>
        <v>87387.32</v>
      </c>
      <c r="O85" t="s">
        <v>531</v>
      </c>
      <c r="P85">
        <f>_xlfn.IFNA(VLOOKUP(A85,IndirectCost!B:L,11,FALSE),"")</f>
        <v>8</v>
      </c>
      <c r="Q85">
        <f t="shared" si="1"/>
        <v>0.08</v>
      </c>
    </row>
    <row r="86" spans="1:17">
      <c r="A86" t="s">
        <v>94</v>
      </c>
      <c r="B86" t="s">
        <v>638</v>
      </c>
      <c r="C86" t="str">
        <f>VLOOKUP(A86,Districts!A:I,9,FALSE)</f>
        <v>AVONDALE SCHOOL DISTRICT 44</v>
      </c>
      <c r="D86" t="str">
        <f>VLOOKUP(A86,Districts!A:P,16,FALSE)</f>
        <v>CL6YDU7H4CA6</v>
      </c>
      <c r="E86" t="s">
        <v>528</v>
      </c>
      <c r="F86" s="1">
        <v>45200</v>
      </c>
      <c r="G86" t="s">
        <v>529</v>
      </c>
      <c r="H86" t="s">
        <v>530</v>
      </c>
      <c r="I86" s="59">
        <f>VLOOKUP(A86,'611'!D:F,3,FALSE)</f>
        <v>1180425.19</v>
      </c>
      <c r="J86" s="59">
        <f>VLOOKUP(A86,'611'!D:Q,14,FALSE)</f>
        <v>1492828.2</v>
      </c>
      <c r="K86" s="59">
        <f>VLOOKUP(A86,'611'!D:Q,14,FALSE)</f>
        <v>1492828.2</v>
      </c>
      <c r="O86" t="s">
        <v>531</v>
      </c>
      <c r="P86">
        <f>_xlfn.IFNA(VLOOKUP(A86,IndirectCost!B:L,11,FALSE),"")</f>
        <v>5.07</v>
      </c>
      <c r="Q86">
        <f t="shared" si="1"/>
        <v>5.0700000000000002E-2</v>
      </c>
    </row>
    <row r="87" spans="1:17">
      <c r="A87" t="s">
        <v>639</v>
      </c>
      <c r="B87" t="s">
        <v>640</v>
      </c>
      <c r="C87" t="str">
        <f>VLOOKUP(A87,Districts!A:I,9,FALSE)</f>
        <v>Avondale Learning dba Precision Academy</v>
      </c>
      <c r="D87" t="str">
        <f>VLOOKUP(A87,Districts!A:P,16,FALSE)</f>
        <v>KY7XPUBGJBT4</v>
      </c>
      <c r="E87" t="s">
        <v>528</v>
      </c>
      <c r="F87" s="1">
        <v>45200</v>
      </c>
      <c r="G87" t="s">
        <v>529</v>
      </c>
      <c r="H87" t="s">
        <v>530</v>
      </c>
      <c r="I87" s="59">
        <f>VLOOKUP(A87,'611'!D:F,3,FALSE)</f>
        <v>7713.63</v>
      </c>
      <c r="J87" s="59">
        <f>VLOOKUP(A87,'611'!D:Q,14,FALSE)</f>
        <v>0</v>
      </c>
      <c r="K87" s="59">
        <f>VLOOKUP(A87,'611'!D:Q,14,FALSE)</f>
        <v>0</v>
      </c>
      <c r="O87" t="s">
        <v>531</v>
      </c>
      <c r="P87" t="str">
        <f>_xlfn.IFNA(VLOOKUP(A87,IndirectCost!B:L,11,FALSE),"")</f>
        <v/>
      </c>
      <c r="Q87">
        <f t="shared" si="1"/>
        <v>0</v>
      </c>
    </row>
    <row r="88" spans="1:17">
      <c r="A88" t="s">
        <v>641</v>
      </c>
      <c r="B88" t="s">
        <v>642</v>
      </c>
      <c r="C88" t="str">
        <f>VLOOKUP(A88,Districts!A:I,9,FALSE)</f>
        <v>AZ Compass Schools, Inc.</v>
      </c>
      <c r="D88" t="str">
        <f>VLOOKUP(A88,Districts!A:P,16,FALSE)</f>
        <v>PVCMZGBQN9B3</v>
      </c>
      <c r="E88" t="s">
        <v>528</v>
      </c>
      <c r="F88" s="1">
        <v>45200</v>
      </c>
      <c r="G88" t="s">
        <v>529</v>
      </c>
      <c r="H88" t="s">
        <v>530</v>
      </c>
      <c r="I88" s="59">
        <f>VLOOKUP(A88,'611'!D:F,3,FALSE)</f>
        <v>39185.47</v>
      </c>
      <c r="J88" s="59">
        <f>VLOOKUP(A88,'611'!D:Q,14,FALSE)</f>
        <v>39185.47</v>
      </c>
      <c r="K88" s="59">
        <f>VLOOKUP(A88,'611'!D:Q,14,FALSE)</f>
        <v>39185.47</v>
      </c>
      <c r="O88" t="s">
        <v>531</v>
      </c>
      <c r="P88" t="str">
        <f>_xlfn.IFNA(VLOOKUP(A88,IndirectCost!B:L,11,FALSE),"")</f>
        <v/>
      </c>
      <c r="Q88">
        <f t="shared" si="1"/>
        <v>0</v>
      </c>
    </row>
    <row r="89" spans="1:17">
      <c r="A89" t="s">
        <v>643</v>
      </c>
      <c r="B89" t="s">
        <v>644</v>
      </c>
      <c r="C89" t="str">
        <f>VLOOKUP(A89,Districts!A:I,9,FALSE)</f>
        <v>Juvenile Corrections Arizona Department</v>
      </c>
      <c r="D89" t="str">
        <f>VLOOKUP(A89,Districts!A:P,16,FALSE)</f>
        <v>XVMBHKMJ6AU7</v>
      </c>
      <c r="E89" t="s">
        <v>528</v>
      </c>
      <c r="F89" s="1">
        <v>45200</v>
      </c>
      <c r="G89" t="s">
        <v>529</v>
      </c>
      <c r="H89" t="s">
        <v>530</v>
      </c>
      <c r="I89" s="59">
        <f>VLOOKUP(A89,'611'!D:F,3,FALSE)</f>
        <v>88589.84</v>
      </c>
      <c r="J89" s="59">
        <f>VLOOKUP(A89,'611'!D:Q,14,FALSE)</f>
        <v>88589.84</v>
      </c>
      <c r="K89" s="59">
        <f>VLOOKUP(A89,'611'!D:Q,14,FALSE)</f>
        <v>88589.84</v>
      </c>
      <c r="O89" t="s">
        <v>531</v>
      </c>
      <c r="P89" t="str">
        <f>_xlfn.IFNA(VLOOKUP(A89,IndirectCost!B:L,11,FALSE),"")</f>
        <v/>
      </c>
      <c r="Q89">
        <f t="shared" si="1"/>
        <v>0</v>
      </c>
    </row>
    <row r="90" spans="1:17">
      <c r="A90" t="s">
        <v>95</v>
      </c>
      <c r="B90" t="s">
        <v>645</v>
      </c>
      <c r="C90" t="str">
        <f>VLOOKUP(A90,Districts!A:I,9,FALSE)</f>
        <v>BABOQUIVARI UNIFIED SCHOOL DISTRICT #40</v>
      </c>
      <c r="D90" t="str">
        <f>VLOOKUP(A90,Districts!A:P,16,FALSE)</f>
        <v>UU16Z4WXLGJ6</v>
      </c>
      <c r="E90" t="s">
        <v>528</v>
      </c>
      <c r="F90" s="1">
        <v>45200</v>
      </c>
      <c r="G90" t="s">
        <v>529</v>
      </c>
      <c r="H90" t="s">
        <v>530</v>
      </c>
      <c r="I90" s="59">
        <f>VLOOKUP(A90,'611'!D:F,3,FALSE)</f>
        <v>291654.46000000002</v>
      </c>
      <c r="J90" s="59">
        <f>VLOOKUP(A90,'611'!D:Q,14,FALSE)</f>
        <v>355979.45</v>
      </c>
      <c r="K90" s="59">
        <f>VLOOKUP(A90,'611'!D:Q,14,FALSE)</f>
        <v>355979.45</v>
      </c>
      <c r="O90" t="s">
        <v>531</v>
      </c>
      <c r="P90">
        <f>_xlfn.IFNA(VLOOKUP(A90,IndirectCost!B:L,11,FALSE),"")</f>
        <v>5.94</v>
      </c>
      <c r="Q90">
        <f t="shared" si="1"/>
        <v>5.9400000000000001E-2</v>
      </c>
    </row>
    <row r="91" spans="1:17">
      <c r="A91" t="s">
        <v>96</v>
      </c>
      <c r="B91" t="s">
        <v>646</v>
      </c>
      <c r="C91" t="str">
        <f>VLOOKUP(A91,Districts!A:I,9,FALSE)</f>
        <v>Bagdad Unified School District 20</v>
      </c>
      <c r="D91" t="str">
        <f>VLOOKUP(A91,Districts!A:P,16,FALSE)</f>
        <v>WMJKDHNFZNM8</v>
      </c>
      <c r="E91" t="s">
        <v>528</v>
      </c>
      <c r="F91" s="1">
        <v>45200</v>
      </c>
      <c r="G91" t="s">
        <v>529</v>
      </c>
      <c r="H91" t="s">
        <v>530</v>
      </c>
      <c r="I91" s="59">
        <f>VLOOKUP(A91,'611'!D:F,3,FALSE)</f>
        <v>96165.95</v>
      </c>
      <c r="J91" s="59">
        <f>VLOOKUP(A91,'611'!D:Q,14,FALSE)</f>
        <v>122905.45</v>
      </c>
      <c r="K91" s="59">
        <f>VLOOKUP(A91,'611'!D:Q,14,FALSE)</f>
        <v>122905.45</v>
      </c>
      <c r="O91" t="s">
        <v>531</v>
      </c>
      <c r="P91" t="str">
        <f>_xlfn.IFNA(VLOOKUP(A91,IndirectCost!B:L,11,FALSE),"")</f>
        <v/>
      </c>
      <c r="Q91">
        <f t="shared" si="1"/>
        <v>0</v>
      </c>
    </row>
    <row r="92" spans="1:17">
      <c r="A92" t="s">
        <v>97</v>
      </c>
      <c r="B92" t="s">
        <v>647</v>
      </c>
      <c r="C92" t="str">
        <f>VLOOKUP(A92,Districts!A:I,9,FALSE)</f>
        <v>Dobson Academy A Ball Charter School</v>
      </c>
      <c r="D92" t="str">
        <f>VLOOKUP(A92,Districts!A:P,16,FALSE)</f>
        <v>HC9VLXJ9KJC4</v>
      </c>
      <c r="E92" t="s">
        <v>528</v>
      </c>
      <c r="F92" s="1">
        <v>45200</v>
      </c>
      <c r="G92" t="s">
        <v>529</v>
      </c>
      <c r="H92" t="s">
        <v>530</v>
      </c>
      <c r="I92" s="59">
        <f>VLOOKUP(A92,'611'!D:F,3,FALSE)</f>
        <v>84157.6</v>
      </c>
      <c r="J92" s="59">
        <f>VLOOKUP(A92,'611'!D:Q,14,FALSE)</f>
        <v>84157.6</v>
      </c>
      <c r="K92" s="59">
        <f>VLOOKUP(A92,'611'!D:Q,14,FALSE)</f>
        <v>84157.6</v>
      </c>
      <c r="O92" t="s">
        <v>531</v>
      </c>
      <c r="P92" t="str">
        <f>_xlfn.IFNA(VLOOKUP(A92,IndirectCost!B:L,11,FALSE),"")</f>
        <v/>
      </c>
      <c r="Q92">
        <f t="shared" si="1"/>
        <v>0</v>
      </c>
    </row>
    <row r="93" spans="1:17">
      <c r="A93" t="s">
        <v>98</v>
      </c>
      <c r="B93" t="s">
        <v>648</v>
      </c>
      <c r="C93" t="str">
        <f>VLOOKUP(A93,Districts!A:I,9,FALSE)</f>
        <v>Ball Charter Schools (Hearn)</v>
      </c>
      <c r="D93" t="str">
        <f>VLOOKUP(A93,Districts!A:P,16,FALSE)</f>
        <v>K5AMHPCCSZ26</v>
      </c>
      <c r="E93" t="s">
        <v>528</v>
      </c>
      <c r="F93" s="1">
        <v>45200</v>
      </c>
      <c r="G93" t="s">
        <v>529</v>
      </c>
      <c r="H93" t="s">
        <v>530</v>
      </c>
      <c r="I93" s="59">
        <f>VLOOKUP(A93,'611'!D:F,3,FALSE)</f>
        <v>110316.17</v>
      </c>
      <c r="J93" s="59">
        <f>VLOOKUP(A93,'611'!D:Q,14,FALSE)</f>
        <v>110316.17</v>
      </c>
      <c r="K93" s="59">
        <f>VLOOKUP(A93,'611'!D:Q,14,FALSE)</f>
        <v>110316.17</v>
      </c>
      <c r="O93" t="s">
        <v>531</v>
      </c>
      <c r="P93" t="str">
        <f>_xlfn.IFNA(VLOOKUP(A93,IndirectCost!B:L,11,FALSE),"")</f>
        <v/>
      </c>
      <c r="Q93">
        <f t="shared" si="1"/>
        <v>0</v>
      </c>
    </row>
    <row r="94" spans="1:17">
      <c r="A94" t="s">
        <v>99</v>
      </c>
      <c r="B94" t="s">
        <v>649</v>
      </c>
      <c r="C94" t="str">
        <f>VLOOKUP(A94,Districts!A:I,9,FALSE)</f>
        <v>Ball Charter Schools</v>
      </c>
      <c r="D94" t="str">
        <f>VLOOKUP(A94,Districts!A:P,16,FALSE)</f>
        <v>LCT2CK7GBJ33</v>
      </c>
      <c r="E94" t="s">
        <v>528</v>
      </c>
      <c r="F94" s="1">
        <v>45200</v>
      </c>
      <c r="G94" t="s">
        <v>529</v>
      </c>
      <c r="H94" t="s">
        <v>530</v>
      </c>
      <c r="I94" s="59">
        <f>VLOOKUP(A94,'611'!D:F,3,FALSE)</f>
        <v>58365.05</v>
      </c>
      <c r="J94" s="59">
        <f>VLOOKUP(A94,'611'!D:Q,14,FALSE)</f>
        <v>58365.05</v>
      </c>
      <c r="K94" s="59">
        <f>VLOOKUP(A94,'611'!D:Q,14,FALSE)</f>
        <v>58365.05</v>
      </c>
      <c r="O94" t="s">
        <v>531</v>
      </c>
      <c r="P94" t="str">
        <f>_xlfn.IFNA(VLOOKUP(A94,IndirectCost!B:L,11,FALSE),"")</f>
        <v/>
      </c>
      <c r="Q94">
        <f t="shared" si="1"/>
        <v>0</v>
      </c>
    </row>
    <row r="95" spans="1:17">
      <c r="A95" t="s">
        <v>100</v>
      </c>
      <c r="B95" t="s">
        <v>650</v>
      </c>
      <c r="C95" t="str">
        <f>VLOOKUP(A95,Districts!A:I,9,FALSE)</f>
        <v>Balsz School District</v>
      </c>
      <c r="D95" t="str">
        <f>VLOOKUP(A95,Districts!A:P,16,FALSE)</f>
        <v>NZFXT3N1YH22</v>
      </c>
      <c r="E95" t="s">
        <v>528</v>
      </c>
      <c r="F95" s="1">
        <v>45200</v>
      </c>
      <c r="G95" t="s">
        <v>529</v>
      </c>
      <c r="H95" t="s">
        <v>530</v>
      </c>
      <c r="I95" s="59">
        <f>VLOOKUP(A95,'611'!D:F,3,FALSE)</f>
        <v>576110.31000000006</v>
      </c>
      <c r="J95" s="59">
        <f>VLOOKUP(A95,'611'!D:Q,14,FALSE)</f>
        <v>756461.7</v>
      </c>
      <c r="K95" s="59">
        <f>VLOOKUP(A95,'611'!D:Q,14,FALSE)</f>
        <v>756461.7</v>
      </c>
      <c r="O95" t="s">
        <v>531</v>
      </c>
      <c r="P95">
        <f>_xlfn.IFNA(VLOOKUP(A95,IndirectCost!B:L,11,FALSE),"")</f>
        <v>3.58</v>
      </c>
      <c r="Q95">
        <f t="shared" si="1"/>
        <v>3.5799999999999998E-2</v>
      </c>
    </row>
    <row r="96" spans="1:17">
      <c r="A96" t="s">
        <v>651</v>
      </c>
      <c r="B96" t="s">
        <v>652</v>
      </c>
      <c r="C96" t="str">
        <f>VLOOKUP(A96,Districts!A:I,9,FALSE)</f>
        <v>BASIS CHARTER SCHOOLS, INC.</v>
      </c>
      <c r="D96" t="str">
        <f>VLOOKUP(A96,Districts!A:P,16,FALSE)</f>
        <v>GX9HBMXHK9W8</v>
      </c>
      <c r="E96" t="s">
        <v>528</v>
      </c>
      <c r="F96" s="1">
        <v>45200</v>
      </c>
      <c r="G96" t="s">
        <v>529</v>
      </c>
      <c r="H96" t="s">
        <v>530</v>
      </c>
      <c r="I96" s="59">
        <f>VLOOKUP(A96,'611'!D:F,3,FALSE)</f>
        <v>125575.76</v>
      </c>
      <c r="J96" s="59">
        <f>VLOOKUP(A96,'611'!D:Q,14,FALSE)</f>
        <v>240399.8</v>
      </c>
      <c r="K96" s="59">
        <f>VLOOKUP(A96,'611'!D:Q,14,FALSE)</f>
        <v>240399.8</v>
      </c>
      <c r="O96" t="s">
        <v>531</v>
      </c>
      <c r="P96" t="str">
        <f>_xlfn.IFNA(VLOOKUP(A96,IndirectCost!B:L,11,FALSE),"")</f>
        <v/>
      </c>
      <c r="Q96">
        <f t="shared" si="1"/>
        <v>0</v>
      </c>
    </row>
    <row r="97" spans="1:17">
      <c r="A97" t="s">
        <v>653</v>
      </c>
      <c r="B97" t="s">
        <v>652</v>
      </c>
      <c r="C97" t="str">
        <f>VLOOKUP(A97,Districts!A:I,9,FALSE)</f>
        <v>BASIS CHARTER SCHOOLS, INC.</v>
      </c>
      <c r="D97" t="str">
        <f>VLOOKUP(A97,Districts!A:P,16,FALSE)</f>
        <v>GX9HBMXHK9W8</v>
      </c>
      <c r="E97" t="s">
        <v>528</v>
      </c>
      <c r="F97" s="1">
        <v>45200</v>
      </c>
      <c r="G97" t="s">
        <v>529</v>
      </c>
      <c r="H97" t="s">
        <v>530</v>
      </c>
      <c r="I97" s="59">
        <f>VLOOKUP(A97,'611'!D:F,3,FALSE)</f>
        <v>127145.33</v>
      </c>
      <c r="J97" s="59">
        <f>VLOOKUP(A97,'611'!D:Q,14,FALSE)</f>
        <v>178608.29</v>
      </c>
      <c r="K97" s="59">
        <f>VLOOKUP(A97,'611'!D:Q,14,FALSE)</f>
        <v>178608.29</v>
      </c>
      <c r="O97" t="s">
        <v>531</v>
      </c>
      <c r="P97" t="str">
        <f>_xlfn.IFNA(VLOOKUP(A97,IndirectCost!B:L,11,FALSE),"")</f>
        <v/>
      </c>
      <c r="Q97">
        <f t="shared" si="1"/>
        <v>0</v>
      </c>
    </row>
    <row r="98" spans="1:17">
      <c r="A98" t="s">
        <v>114</v>
      </c>
      <c r="B98" t="s">
        <v>652</v>
      </c>
      <c r="C98" t="str">
        <f>VLOOKUP(A98,Districts!A:I,9,FALSE)</f>
        <v>BASIS CHARTER SCHOOLS, INC.</v>
      </c>
      <c r="D98" t="str">
        <f>VLOOKUP(A98,Districts!A:P,16,FALSE)</f>
        <v>GX9HBMXHK9W8</v>
      </c>
      <c r="E98" t="s">
        <v>528</v>
      </c>
      <c r="F98" s="1">
        <v>45200</v>
      </c>
      <c r="G98" t="s">
        <v>529</v>
      </c>
      <c r="H98" t="s">
        <v>530</v>
      </c>
      <c r="I98" s="59">
        <f>VLOOKUP(A98,'611'!D:F,3,FALSE)</f>
        <v>79739.55</v>
      </c>
      <c r="J98" s="59">
        <f>VLOOKUP(A98,'611'!D:Q,14,FALSE)</f>
        <v>162716.22</v>
      </c>
      <c r="K98" s="59">
        <f>VLOOKUP(A98,'611'!D:Q,14,FALSE)</f>
        <v>162716.22</v>
      </c>
      <c r="O98" t="s">
        <v>531</v>
      </c>
      <c r="P98" t="str">
        <f>_xlfn.IFNA(VLOOKUP(A98,IndirectCost!B:L,11,FALSE),"")</f>
        <v/>
      </c>
      <c r="Q98">
        <f t="shared" si="1"/>
        <v>0</v>
      </c>
    </row>
    <row r="99" spans="1:17">
      <c r="A99" t="s">
        <v>112</v>
      </c>
      <c r="B99" t="s">
        <v>652</v>
      </c>
      <c r="C99" t="str">
        <f>VLOOKUP(A99,Districts!A:I,9,FALSE)</f>
        <v>BASIS CHARTER SCHOOLS, INC.</v>
      </c>
      <c r="D99" t="str">
        <f>VLOOKUP(A99,Districts!A:P,16,FALSE)</f>
        <v>GX9HBMXHK9W8</v>
      </c>
      <c r="E99" t="s">
        <v>528</v>
      </c>
      <c r="F99" s="1">
        <v>45200</v>
      </c>
      <c r="G99" t="s">
        <v>529</v>
      </c>
      <c r="H99" t="s">
        <v>530</v>
      </c>
      <c r="I99" s="59">
        <f>VLOOKUP(A99,'611'!D:F,3,FALSE)</f>
        <v>89473.88</v>
      </c>
      <c r="J99" s="59">
        <f>VLOOKUP(A99,'611'!D:Q,14,FALSE)</f>
        <v>114773.88</v>
      </c>
      <c r="K99" s="59">
        <f>VLOOKUP(A99,'611'!D:Q,14,FALSE)</f>
        <v>114773.88</v>
      </c>
      <c r="O99" t="s">
        <v>531</v>
      </c>
      <c r="P99" t="str">
        <f>_xlfn.IFNA(VLOOKUP(A99,IndirectCost!B:L,11,FALSE),"")</f>
        <v/>
      </c>
      <c r="Q99">
        <f t="shared" si="1"/>
        <v>0</v>
      </c>
    </row>
    <row r="100" spans="1:17">
      <c r="A100" t="s">
        <v>654</v>
      </c>
      <c r="B100" t="s">
        <v>652</v>
      </c>
      <c r="C100" t="str">
        <f>VLOOKUP(A100,Districts!A:I,9,FALSE)</f>
        <v>BASIS CHARTER SCHOOLS, INC.</v>
      </c>
      <c r="D100" t="str">
        <f>VLOOKUP(A100,Districts!A:P,16,FALSE)</f>
        <v>GX9HBMXHK9W8</v>
      </c>
      <c r="E100" t="s">
        <v>528</v>
      </c>
      <c r="F100" s="1">
        <v>45200</v>
      </c>
      <c r="G100" t="s">
        <v>529</v>
      </c>
      <c r="H100" t="s">
        <v>530</v>
      </c>
      <c r="I100" s="59">
        <f>VLOOKUP(A100,'611'!D:F,3,FALSE)</f>
        <v>147114.26999999999</v>
      </c>
      <c r="J100" s="59">
        <f>VLOOKUP(A100,'611'!D:Q,14,FALSE)</f>
        <v>147114.26999999999</v>
      </c>
      <c r="K100" s="59">
        <f>VLOOKUP(A100,'611'!D:Q,14,FALSE)</f>
        <v>147114.26999999999</v>
      </c>
      <c r="O100" t="s">
        <v>531</v>
      </c>
      <c r="P100" t="str">
        <f>_xlfn.IFNA(VLOOKUP(A100,IndirectCost!B:L,11,FALSE),"")</f>
        <v/>
      </c>
      <c r="Q100">
        <f t="shared" si="1"/>
        <v>0</v>
      </c>
    </row>
    <row r="101" spans="1:17">
      <c r="A101" t="s">
        <v>655</v>
      </c>
      <c r="B101" t="s">
        <v>652</v>
      </c>
      <c r="C101" t="str">
        <f>VLOOKUP(A101,Districts!A:I,9,FALSE)</f>
        <v>BASIS CHARTER SCHOOLS, INC.</v>
      </c>
      <c r="D101" t="str">
        <f>VLOOKUP(A101,Districts!A:P,16,FALSE)</f>
        <v>GX9HBMXHK9W8</v>
      </c>
      <c r="E101" t="s">
        <v>528</v>
      </c>
      <c r="F101" s="1">
        <v>45200</v>
      </c>
      <c r="G101" t="s">
        <v>529</v>
      </c>
      <c r="H101" t="s">
        <v>530</v>
      </c>
      <c r="I101" s="59">
        <f>VLOOKUP(A101,'611'!D:F,3,FALSE)</f>
        <v>37920.79</v>
      </c>
      <c r="J101" s="59">
        <f>VLOOKUP(A101,'611'!D:Q,14,FALSE)</f>
        <v>74946.12</v>
      </c>
      <c r="K101" s="59">
        <f>VLOOKUP(A101,'611'!D:Q,14,FALSE)</f>
        <v>74946.12</v>
      </c>
      <c r="O101" t="s">
        <v>531</v>
      </c>
      <c r="P101" t="str">
        <f>_xlfn.IFNA(VLOOKUP(A101,IndirectCost!B:L,11,FALSE),"")</f>
        <v/>
      </c>
      <c r="Q101">
        <f t="shared" si="1"/>
        <v>0</v>
      </c>
    </row>
    <row r="102" spans="1:17">
      <c r="A102" t="s">
        <v>103</v>
      </c>
      <c r="B102" t="s">
        <v>652</v>
      </c>
      <c r="C102" t="str">
        <f>VLOOKUP(A102,Districts!A:I,9,FALSE)</f>
        <v>BASIS CHARTER SCHOOLS, INC.</v>
      </c>
      <c r="D102" t="str">
        <f>VLOOKUP(A102,Districts!A:P,16,FALSE)</f>
        <v>GX9HBMXHK9W8</v>
      </c>
      <c r="E102" t="s">
        <v>528</v>
      </c>
      <c r="F102" s="1">
        <v>45200</v>
      </c>
      <c r="G102" t="s">
        <v>529</v>
      </c>
      <c r="H102" t="s">
        <v>530</v>
      </c>
      <c r="I102" s="59">
        <f>VLOOKUP(A102,'611'!D:F,3,FALSE)</f>
        <v>58869.8</v>
      </c>
      <c r="J102" s="59">
        <f>VLOOKUP(A102,'611'!D:Q,14,FALSE)</f>
        <v>58869.8</v>
      </c>
      <c r="K102" s="59">
        <f>VLOOKUP(A102,'611'!D:Q,14,FALSE)</f>
        <v>58869.8</v>
      </c>
      <c r="O102" t="s">
        <v>531</v>
      </c>
      <c r="P102" t="str">
        <f>_xlfn.IFNA(VLOOKUP(A102,IndirectCost!B:L,11,FALSE),"")</f>
        <v/>
      </c>
      <c r="Q102">
        <f t="shared" si="1"/>
        <v>0</v>
      </c>
    </row>
    <row r="103" spans="1:17">
      <c r="A103" t="s">
        <v>110</v>
      </c>
      <c r="B103" t="s">
        <v>652</v>
      </c>
      <c r="C103" t="str">
        <f>VLOOKUP(A103,Districts!A:I,9,FALSE)</f>
        <v>BASIS CHARTER SCHOOLS, INC.</v>
      </c>
      <c r="D103" t="str">
        <f>VLOOKUP(A103,Districts!A:P,16,FALSE)</f>
        <v>GX9HBMXHK9W8</v>
      </c>
      <c r="E103" t="s">
        <v>528</v>
      </c>
      <c r="F103" s="1">
        <v>45200</v>
      </c>
      <c r="G103" t="s">
        <v>529</v>
      </c>
      <c r="H103" t="s">
        <v>530</v>
      </c>
      <c r="I103" s="59">
        <f>VLOOKUP(A103,'611'!D:F,3,FALSE)</f>
        <v>58815.39</v>
      </c>
      <c r="J103" s="59">
        <f>VLOOKUP(A103,'611'!D:Q,14,FALSE)</f>
        <v>61907.05</v>
      </c>
      <c r="K103" s="59">
        <f>VLOOKUP(A103,'611'!D:Q,14,FALSE)</f>
        <v>61907.05</v>
      </c>
      <c r="O103" t="s">
        <v>531</v>
      </c>
      <c r="P103" t="str">
        <f>_xlfn.IFNA(VLOOKUP(A103,IndirectCost!B:L,11,FALSE),"")</f>
        <v/>
      </c>
      <c r="Q103">
        <f t="shared" si="1"/>
        <v>0</v>
      </c>
    </row>
    <row r="104" spans="1:17">
      <c r="A104" t="s">
        <v>108</v>
      </c>
      <c r="B104" t="s">
        <v>652</v>
      </c>
      <c r="C104" t="str">
        <f>VLOOKUP(A104,Districts!A:I,9,FALSE)</f>
        <v>BASIS CHARTER SCHOOLS, INC.</v>
      </c>
      <c r="D104" t="str">
        <f>VLOOKUP(A104,Districts!A:P,16,FALSE)</f>
        <v>GX9HBMXHK9W8</v>
      </c>
      <c r="E104" t="s">
        <v>528</v>
      </c>
      <c r="F104" s="1">
        <v>45200</v>
      </c>
      <c r="G104" t="s">
        <v>529</v>
      </c>
      <c r="H104" t="s">
        <v>530</v>
      </c>
      <c r="I104" s="59">
        <f>VLOOKUP(A104,'611'!D:F,3,FALSE)</f>
        <v>83542.460000000006</v>
      </c>
      <c r="J104" s="59">
        <f>VLOOKUP(A104,'611'!D:Q,14,FALSE)</f>
        <v>88831.53</v>
      </c>
      <c r="K104" s="59">
        <f>VLOOKUP(A104,'611'!D:Q,14,FALSE)</f>
        <v>88831.53</v>
      </c>
      <c r="O104" t="s">
        <v>531</v>
      </c>
      <c r="P104" t="str">
        <f>_xlfn.IFNA(VLOOKUP(A104,IndirectCost!B:L,11,FALSE),"")</f>
        <v/>
      </c>
      <c r="Q104">
        <f t="shared" si="1"/>
        <v>0</v>
      </c>
    </row>
    <row r="105" spans="1:17">
      <c r="A105" t="s">
        <v>107</v>
      </c>
      <c r="B105" t="s">
        <v>652</v>
      </c>
      <c r="C105" t="str">
        <f>VLOOKUP(A105,Districts!A:I,9,FALSE)</f>
        <v>BASIS CHARTER SCHOOLS, INC.</v>
      </c>
      <c r="D105" t="str">
        <f>VLOOKUP(A105,Districts!A:P,16,FALSE)</f>
        <v>GX9HBMXHK9W8</v>
      </c>
      <c r="E105" t="s">
        <v>528</v>
      </c>
      <c r="F105" s="1">
        <v>45200</v>
      </c>
      <c r="G105" t="s">
        <v>529</v>
      </c>
      <c r="H105" t="s">
        <v>530</v>
      </c>
      <c r="I105" s="59">
        <f>VLOOKUP(A105,'611'!D:F,3,FALSE)</f>
        <v>65821.47</v>
      </c>
      <c r="J105" s="59">
        <f>VLOOKUP(A105,'611'!D:Q,14,FALSE)</f>
        <v>65821.47</v>
      </c>
      <c r="K105" s="59">
        <f>VLOOKUP(A105,'611'!D:Q,14,FALSE)</f>
        <v>65821.47</v>
      </c>
      <c r="O105" t="s">
        <v>531</v>
      </c>
      <c r="P105" t="str">
        <f>_xlfn.IFNA(VLOOKUP(A105,IndirectCost!B:L,11,FALSE),"")</f>
        <v/>
      </c>
      <c r="Q105">
        <f t="shared" si="1"/>
        <v>0</v>
      </c>
    </row>
    <row r="106" spans="1:17">
      <c r="A106" t="s">
        <v>106</v>
      </c>
      <c r="B106" t="s">
        <v>652</v>
      </c>
      <c r="C106" t="str">
        <f>VLOOKUP(A106,Districts!A:I,9,FALSE)</f>
        <v>BASIS CHARTER SCHOOLS, INC.</v>
      </c>
      <c r="D106" t="str">
        <f>VLOOKUP(A106,Districts!A:P,16,FALSE)</f>
        <v>GX9HBMXHK9W8</v>
      </c>
      <c r="E106" t="s">
        <v>528</v>
      </c>
      <c r="F106" s="1">
        <v>45200</v>
      </c>
      <c r="G106" t="s">
        <v>529</v>
      </c>
      <c r="H106" t="s">
        <v>530</v>
      </c>
      <c r="I106" s="59">
        <f>VLOOKUP(A106,'611'!D:F,3,FALSE)</f>
        <v>74817.8</v>
      </c>
      <c r="J106" s="59">
        <f>VLOOKUP(A106,'611'!D:Q,14,FALSE)</f>
        <v>74817.8</v>
      </c>
      <c r="K106" s="59">
        <f>VLOOKUP(A106,'611'!D:Q,14,FALSE)</f>
        <v>74817.8</v>
      </c>
      <c r="O106" t="s">
        <v>531</v>
      </c>
      <c r="P106" t="str">
        <f>_xlfn.IFNA(VLOOKUP(A106,IndirectCost!B:L,11,FALSE),"")</f>
        <v/>
      </c>
      <c r="Q106">
        <f t="shared" si="1"/>
        <v>0</v>
      </c>
    </row>
    <row r="107" spans="1:17">
      <c r="A107" t="s">
        <v>656</v>
      </c>
      <c r="B107" t="s">
        <v>652</v>
      </c>
      <c r="C107" t="str">
        <f>VLOOKUP(A107,Districts!A:I,9,FALSE)</f>
        <v>BASIS CHARTER SCHOOLS, INC.</v>
      </c>
      <c r="D107" t="str">
        <f>VLOOKUP(A107,Districts!A:P,16,FALSE)</f>
        <v>GX9HBMXHK9W8</v>
      </c>
      <c r="E107" t="s">
        <v>528</v>
      </c>
      <c r="F107" s="1">
        <v>45200</v>
      </c>
      <c r="G107" t="s">
        <v>529</v>
      </c>
      <c r="H107" t="s">
        <v>530</v>
      </c>
      <c r="I107" s="59">
        <f>VLOOKUP(A107,'611'!D:F,3,FALSE)</f>
        <v>82003.490000000005</v>
      </c>
      <c r="J107" s="59">
        <f>VLOOKUP(A107,'611'!D:Q,14,FALSE)</f>
        <v>150250.04</v>
      </c>
      <c r="K107" s="59">
        <f>VLOOKUP(A107,'611'!D:Q,14,FALSE)</f>
        <v>150250.04</v>
      </c>
      <c r="O107" t="s">
        <v>531</v>
      </c>
      <c r="P107" t="str">
        <f>_xlfn.IFNA(VLOOKUP(A107,IndirectCost!B:L,11,FALSE),"")</f>
        <v/>
      </c>
      <c r="Q107">
        <f t="shared" si="1"/>
        <v>0</v>
      </c>
    </row>
    <row r="108" spans="1:17">
      <c r="A108" t="s">
        <v>111</v>
      </c>
      <c r="B108" t="s">
        <v>652</v>
      </c>
      <c r="C108" t="str">
        <f>VLOOKUP(A108,Districts!A:I,9,FALSE)</f>
        <v>BASIS CHARTER SCHOOLS, INC.</v>
      </c>
      <c r="D108" t="str">
        <f>VLOOKUP(A108,Districts!A:P,16,FALSE)</f>
        <v>GX9HBMXHK9W8</v>
      </c>
      <c r="E108" t="s">
        <v>528</v>
      </c>
      <c r="F108" s="1">
        <v>45200</v>
      </c>
      <c r="G108" t="s">
        <v>529</v>
      </c>
      <c r="H108" t="s">
        <v>530</v>
      </c>
      <c r="I108" s="59">
        <f>VLOOKUP(A108,'611'!D:F,3,FALSE)</f>
        <v>87828.67</v>
      </c>
      <c r="J108" s="59">
        <f>VLOOKUP(A108,'611'!D:Q,14,FALSE)</f>
        <v>109176.5</v>
      </c>
      <c r="K108" s="59">
        <f>VLOOKUP(A108,'611'!D:Q,14,FALSE)</f>
        <v>109176.5</v>
      </c>
      <c r="O108" t="s">
        <v>531</v>
      </c>
      <c r="P108" t="str">
        <f>_xlfn.IFNA(VLOOKUP(A108,IndirectCost!B:L,11,FALSE),"")</f>
        <v/>
      </c>
      <c r="Q108">
        <f t="shared" si="1"/>
        <v>0</v>
      </c>
    </row>
    <row r="109" spans="1:17">
      <c r="A109" t="s">
        <v>104</v>
      </c>
      <c r="B109" t="s">
        <v>652</v>
      </c>
      <c r="C109" t="str">
        <f>VLOOKUP(A109,Districts!A:I,9,FALSE)</f>
        <v>BASIS CHARTER SCHOOLS, INC.</v>
      </c>
      <c r="D109" t="str">
        <f>VLOOKUP(A109,Districts!A:P,16,FALSE)</f>
        <v>GX9HBMXHK9W8</v>
      </c>
      <c r="E109" t="s">
        <v>528</v>
      </c>
      <c r="F109" s="1">
        <v>45200</v>
      </c>
      <c r="G109" t="s">
        <v>529</v>
      </c>
      <c r="H109" t="s">
        <v>530</v>
      </c>
      <c r="I109" s="59">
        <f>VLOOKUP(A109,'611'!D:F,3,FALSE)</f>
        <v>83953.94</v>
      </c>
      <c r="J109" s="59">
        <f>VLOOKUP(A109,'611'!D:Q,14,FALSE)</f>
        <v>83953.94</v>
      </c>
      <c r="K109" s="59">
        <f>VLOOKUP(A109,'611'!D:Q,14,FALSE)</f>
        <v>83953.94</v>
      </c>
      <c r="O109" t="s">
        <v>531</v>
      </c>
      <c r="P109" t="str">
        <f>_xlfn.IFNA(VLOOKUP(A109,IndirectCost!B:L,11,FALSE),"")</f>
        <v/>
      </c>
      <c r="Q109">
        <f t="shared" si="1"/>
        <v>0</v>
      </c>
    </row>
    <row r="110" spans="1:17">
      <c r="A110" t="s">
        <v>109</v>
      </c>
      <c r="B110" t="s">
        <v>652</v>
      </c>
      <c r="C110" t="str">
        <f>VLOOKUP(A110,Districts!A:I,9,FALSE)</f>
        <v>BASIS CHARTER SCHOOLS, INC.</v>
      </c>
      <c r="D110" t="str">
        <f>VLOOKUP(A110,Districts!A:P,16,FALSE)</f>
        <v>GX9HBMXHK9W8</v>
      </c>
      <c r="E110" t="s">
        <v>528</v>
      </c>
      <c r="F110" s="1">
        <v>45200</v>
      </c>
      <c r="G110" t="s">
        <v>529</v>
      </c>
      <c r="H110" t="s">
        <v>530</v>
      </c>
      <c r="I110" s="59">
        <f>VLOOKUP(A110,'611'!D:F,3,FALSE)</f>
        <v>89369.41</v>
      </c>
      <c r="J110" s="59">
        <f>VLOOKUP(A110,'611'!D:Q,14,FALSE)</f>
        <v>89369.41</v>
      </c>
      <c r="K110" s="59">
        <f>VLOOKUP(A110,'611'!D:Q,14,FALSE)</f>
        <v>89369.41</v>
      </c>
      <c r="O110" t="s">
        <v>531</v>
      </c>
      <c r="P110" t="str">
        <f>_xlfn.IFNA(VLOOKUP(A110,IndirectCost!B:L,11,FALSE),"")</f>
        <v/>
      </c>
      <c r="Q110">
        <f t="shared" si="1"/>
        <v>0</v>
      </c>
    </row>
    <row r="111" spans="1:17">
      <c r="A111" t="s">
        <v>105</v>
      </c>
      <c r="B111" t="s">
        <v>652</v>
      </c>
      <c r="C111" t="str">
        <f>VLOOKUP(A111,Districts!A:I,9,FALSE)</f>
        <v>BASIS CHARTER SCHOOLS, INC.</v>
      </c>
      <c r="D111" t="str">
        <f>VLOOKUP(A111,Districts!A:P,16,FALSE)</f>
        <v>GX9HBMXHK9W8</v>
      </c>
      <c r="E111" t="s">
        <v>528</v>
      </c>
      <c r="F111" s="1">
        <v>45200</v>
      </c>
      <c r="G111" t="s">
        <v>529</v>
      </c>
      <c r="H111" t="s">
        <v>530</v>
      </c>
      <c r="I111" s="59">
        <f>VLOOKUP(A111,'611'!D:F,3,FALSE)</f>
        <v>94031.27</v>
      </c>
      <c r="J111" s="59">
        <f>VLOOKUP(A111,'611'!D:Q,14,FALSE)</f>
        <v>95752.320000000007</v>
      </c>
      <c r="K111" s="59">
        <f>VLOOKUP(A111,'611'!D:Q,14,FALSE)</f>
        <v>95752.320000000007</v>
      </c>
      <c r="O111" t="s">
        <v>531</v>
      </c>
      <c r="P111" t="str">
        <f>_xlfn.IFNA(VLOOKUP(A111,IndirectCost!B:L,11,FALSE),"")</f>
        <v/>
      </c>
      <c r="Q111">
        <f t="shared" si="1"/>
        <v>0</v>
      </c>
    </row>
    <row r="112" spans="1:17">
      <c r="A112" t="s">
        <v>657</v>
      </c>
      <c r="B112" t="s">
        <v>652</v>
      </c>
      <c r="C112" t="str">
        <f>VLOOKUP(A112,Districts!A:I,9,FALSE)</f>
        <v>BASIS CHARTER SCHOOLS, INC.</v>
      </c>
      <c r="D112" t="str">
        <f>VLOOKUP(A112,Districts!A:P,16,FALSE)</f>
        <v>GX9HBMXHK9W8</v>
      </c>
      <c r="E112" t="s">
        <v>528</v>
      </c>
      <c r="F112" s="1">
        <v>45200</v>
      </c>
      <c r="G112" t="s">
        <v>529</v>
      </c>
      <c r="H112" t="s">
        <v>530</v>
      </c>
      <c r="I112" s="59">
        <f>VLOOKUP(A112,'611'!D:F,3,FALSE)</f>
        <v>89225.13</v>
      </c>
      <c r="J112" s="59">
        <f>VLOOKUP(A112,'611'!D:Q,14,FALSE)</f>
        <v>89225.13</v>
      </c>
      <c r="K112" s="59">
        <f>VLOOKUP(A112,'611'!D:Q,14,FALSE)</f>
        <v>89225.13</v>
      </c>
      <c r="O112" t="s">
        <v>531</v>
      </c>
      <c r="P112" t="str">
        <f>_xlfn.IFNA(VLOOKUP(A112,IndirectCost!B:L,11,FALSE),"")</f>
        <v/>
      </c>
      <c r="Q112">
        <f t="shared" si="1"/>
        <v>0</v>
      </c>
    </row>
    <row r="113" spans="1:17">
      <c r="A113" t="s">
        <v>101</v>
      </c>
      <c r="B113" t="s">
        <v>652</v>
      </c>
      <c r="C113" t="str">
        <f>VLOOKUP(A113,Districts!A:I,9,FALSE)</f>
        <v>BASIS CHARTER SCHOOLS, INC.</v>
      </c>
      <c r="D113" t="str">
        <f>VLOOKUP(A113,Districts!A:P,16,FALSE)</f>
        <v>GX9HBMXHK9W8</v>
      </c>
      <c r="E113" t="s">
        <v>528</v>
      </c>
      <c r="F113" s="1">
        <v>45200</v>
      </c>
      <c r="G113" t="s">
        <v>529</v>
      </c>
      <c r="H113" t="s">
        <v>530</v>
      </c>
      <c r="I113" s="59">
        <f>VLOOKUP(A113,'611'!D:F,3,FALSE)</f>
        <v>101800.74</v>
      </c>
      <c r="J113" s="59">
        <f>VLOOKUP(A113,'611'!D:Q,14,FALSE)</f>
        <v>128800.74</v>
      </c>
      <c r="K113" s="59">
        <f>VLOOKUP(A113,'611'!D:Q,14,FALSE)</f>
        <v>128800.74</v>
      </c>
      <c r="O113" t="s">
        <v>531</v>
      </c>
      <c r="P113" t="str">
        <f>_xlfn.IFNA(VLOOKUP(A113,IndirectCost!B:L,11,FALSE),"")</f>
        <v/>
      </c>
      <c r="Q113">
        <f t="shared" si="1"/>
        <v>0</v>
      </c>
    </row>
    <row r="114" spans="1:17">
      <c r="A114" t="s">
        <v>658</v>
      </c>
      <c r="B114" t="s">
        <v>652</v>
      </c>
      <c r="C114" t="str">
        <f>VLOOKUP(A114,Districts!A:I,9,FALSE)</f>
        <v>BASIS CHARTER SCHOOLS, INC.</v>
      </c>
      <c r="D114" t="str">
        <f>VLOOKUP(A114,Districts!A:P,16,FALSE)</f>
        <v>GX9HBMXHK9W8</v>
      </c>
      <c r="E114" t="s">
        <v>528</v>
      </c>
      <c r="F114" s="1">
        <v>45200</v>
      </c>
      <c r="G114" t="s">
        <v>529</v>
      </c>
      <c r="H114" t="s">
        <v>530</v>
      </c>
      <c r="I114" s="59">
        <f>VLOOKUP(A114,'611'!D:F,3,FALSE)</f>
        <v>103118.21</v>
      </c>
      <c r="J114" s="59">
        <f>VLOOKUP(A114,'611'!D:Q,14,FALSE)</f>
        <v>103118.21</v>
      </c>
      <c r="K114" s="59">
        <f>VLOOKUP(A114,'611'!D:Q,14,FALSE)</f>
        <v>103118.21</v>
      </c>
      <c r="O114" t="s">
        <v>531</v>
      </c>
      <c r="P114" t="str">
        <f>_xlfn.IFNA(VLOOKUP(A114,IndirectCost!B:L,11,FALSE),"")</f>
        <v/>
      </c>
      <c r="Q114">
        <f t="shared" si="1"/>
        <v>0</v>
      </c>
    </row>
    <row r="115" spans="1:17">
      <c r="A115" t="s">
        <v>113</v>
      </c>
      <c r="B115" t="s">
        <v>652</v>
      </c>
      <c r="C115" t="str">
        <f>VLOOKUP(A115,Districts!A:I,9,FALSE)</f>
        <v>BASIS CHARTER SCHOOLS, INC.</v>
      </c>
      <c r="D115" t="str">
        <f>VLOOKUP(A115,Districts!A:P,16,FALSE)</f>
        <v>GX9HBMXHK9W8</v>
      </c>
      <c r="E115" t="s">
        <v>528</v>
      </c>
      <c r="F115" s="1">
        <v>45200</v>
      </c>
      <c r="G115" t="s">
        <v>529</v>
      </c>
      <c r="H115" t="s">
        <v>530</v>
      </c>
      <c r="I115" s="59">
        <f>VLOOKUP(A115,'611'!D:F,3,FALSE)</f>
        <v>103012.09</v>
      </c>
      <c r="J115" s="59">
        <f>VLOOKUP(A115,'611'!D:Q,14,FALSE)</f>
        <v>103012.09</v>
      </c>
      <c r="K115" s="59">
        <f>VLOOKUP(A115,'611'!D:Q,14,FALSE)</f>
        <v>103012.09</v>
      </c>
      <c r="O115" t="s">
        <v>531</v>
      </c>
      <c r="P115" t="str">
        <f>_xlfn.IFNA(VLOOKUP(A115,IndirectCost!B:L,11,FALSE),"")</f>
        <v/>
      </c>
      <c r="Q115">
        <f t="shared" si="1"/>
        <v>0</v>
      </c>
    </row>
    <row r="116" spans="1:17">
      <c r="A116" t="s">
        <v>102</v>
      </c>
      <c r="B116" t="s">
        <v>652</v>
      </c>
      <c r="C116" t="str">
        <f>VLOOKUP(A116,Districts!A:I,9,FALSE)</f>
        <v>BASIS CHARTER SCHOOLS, INC.</v>
      </c>
      <c r="D116" t="str">
        <f>VLOOKUP(A116,Districts!A:P,16,FALSE)</f>
        <v>GX9HBMXHK9W8</v>
      </c>
      <c r="E116" t="s">
        <v>528</v>
      </c>
      <c r="F116" s="1">
        <v>45200</v>
      </c>
      <c r="G116" t="s">
        <v>529</v>
      </c>
      <c r="H116" t="s">
        <v>530</v>
      </c>
      <c r="I116" s="59">
        <f>VLOOKUP(A116,'611'!D:F,3,FALSE)</f>
        <v>108437.35</v>
      </c>
      <c r="J116" s="59">
        <f>VLOOKUP(A116,'611'!D:Q,14,FALSE)</f>
        <v>108437.35</v>
      </c>
      <c r="K116" s="59">
        <f>VLOOKUP(A116,'611'!D:Q,14,FALSE)</f>
        <v>108437.35</v>
      </c>
      <c r="O116" t="s">
        <v>531</v>
      </c>
      <c r="P116" t="str">
        <f>_xlfn.IFNA(VLOOKUP(A116,IndirectCost!B:L,11,FALSE),"")</f>
        <v/>
      </c>
      <c r="Q116">
        <f t="shared" si="1"/>
        <v>0</v>
      </c>
    </row>
    <row r="117" spans="1:17">
      <c r="A117" t="s">
        <v>659</v>
      </c>
      <c r="B117" t="s">
        <v>652</v>
      </c>
      <c r="C117" t="str">
        <f>VLOOKUP(A117,Districts!A:I,9,FALSE)</f>
        <v>BASIS CHARTER SCHOOLS, INC.</v>
      </c>
      <c r="D117" t="str">
        <f>VLOOKUP(A117,Districts!A:P,16,FALSE)</f>
        <v>GX9HBMXHK9W8</v>
      </c>
      <c r="E117" t="s">
        <v>528</v>
      </c>
      <c r="F117" s="1">
        <v>45200</v>
      </c>
      <c r="G117" t="s">
        <v>529</v>
      </c>
      <c r="H117" t="s">
        <v>530</v>
      </c>
      <c r="I117" s="59">
        <f>VLOOKUP(A117,'611'!D:F,3,FALSE)</f>
        <v>114411.02</v>
      </c>
      <c r="J117" s="59">
        <f>VLOOKUP(A117,'611'!D:Q,14,FALSE)</f>
        <v>199266.14</v>
      </c>
      <c r="K117" s="59">
        <f>VLOOKUP(A117,'611'!D:Q,14,FALSE)</f>
        <v>199266.14</v>
      </c>
      <c r="O117" t="s">
        <v>531</v>
      </c>
      <c r="P117" t="str">
        <f>_xlfn.IFNA(VLOOKUP(A117,IndirectCost!B:L,11,FALSE),"")</f>
        <v/>
      </c>
      <c r="Q117">
        <f t="shared" si="1"/>
        <v>0</v>
      </c>
    </row>
    <row r="118" spans="1:17">
      <c r="A118" t="s">
        <v>115</v>
      </c>
      <c r="B118" t="s">
        <v>660</v>
      </c>
      <c r="C118" t="str">
        <f>VLOOKUP(A118,Districts!A:I,9,FALSE)</f>
        <v>Beaver Creek Elementary School District 026</v>
      </c>
      <c r="D118" t="str">
        <f>VLOOKUP(A118,Districts!A:P,16,FALSE)</f>
        <v>UM19HURP9S87</v>
      </c>
      <c r="E118" t="s">
        <v>528</v>
      </c>
      <c r="F118" s="1">
        <v>45200</v>
      </c>
      <c r="G118" t="s">
        <v>529</v>
      </c>
      <c r="H118" t="s">
        <v>530</v>
      </c>
      <c r="I118" s="59">
        <f>VLOOKUP(A118,'611'!D:F,3,FALSE)</f>
        <v>94861.45</v>
      </c>
      <c r="J118" s="59">
        <f>VLOOKUP(A118,'611'!D:Q,14,FALSE)</f>
        <v>107990.92</v>
      </c>
      <c r="K118" s="59">
        <f>VLOOKUP(A118,'611'!D:Q,14,FALSE)</f>
        <v>107990.92</v>
      </c>
      <c r="O118" t="s">
        <v>531</v>
      </c>
      <c r="P118">
        <f>_xlfn.IFNA(VLOOKUP(A118,IndirectCost!B:L,11,FALSE),"")</f>
        <v>7.54</v>
      </c>
      <c r="Q118">
        <f t="shared" si="1"/>
        <v>7.5399999999999995E-2</v>
      </c>
    </row>
    <row r="119" spans="1:17">
      <c r="A119" t="s">
        <v>116</v>
      </c>
      <c r="B119" t="s">
        <v>661</v>
      </c>
      <c r="C119" t="str">
        <f>VLOOKUP(A119,Districts!A:I,9,FALSE)</f>
        <v>Bell Canyon Charter School Inc</v>
      </c>
      <c r="D119" t="str">
        <f>VLOOKUP(A119,Districts!A:P,16,FALSE)</f>
        <v>HPHBNU7LJFM9</v>
      </c>
      <c r="E119" t="s">
        <v>528</v>
      </c>
      <c r="F119" s="1">
        <v>45200</v>
      </c>
      <c r="G119" t="s">
        <v>529</v>
      </c>
      <c r="H119" t="s">
        <v>530</v>
      </c>
      <c r="I119" s="59">
        <f>VLOOKUP(A119,'611'!D:F,3,FALSE)</f>
        <v>65527.55</v>
      </c>
      <c r="J119" s="59">
        <f>VLOOKUP(A119,'611'!D:Q,14,FALSE)</f>
        <v>65527.55</v>
      </c>
      <c r="K119" s="59">
        <f>VLOOKUP(A119,'611'!D:Q,14,FALSE)</f>
        <v>65527.55</v>
      </c>
      <c r="O119" t="s">
        <v>531</v>
      </c>
      <c r="P119" t="str">
        <f>_xlfn.IFNA(VLOOKUP(A119,IndirectCost!B:L,11,FALSE),"")</f>
        <v/>
      </c>
      <c r="Q119">
        <f t="shared" si="1"/>
        <v>0</v>
      </c>
    </row>
    <row r="120" spans="1:17">
      <c r="A120" t="s">
        <v>117</v>
      </c>
      <c r="B120" t="s">
        <v>662</v>
      </c>
      <c r="C120" t="str">
        <f>VLOOKUP(A120,Districts!A:I,9,FALSE)</f>
        <v>Benchmark School, Inc</v>
      </c>
      <c r="D120" t="str">
        <f>VLOOKUP(A120,Districts!A:P,16,FALSE)</f>
        <v>JZCQH6JQCJB9</v>
      </c>
      <c r="E120" t="s">
        <v>528</v>
      </c>
      <c r="F120" s="1">
        <v>45200</v>
      </c>
      <c r="G120" t="s">
        <v>529</v>
      </c>
      <c r="H120" t="s">
        <v>530</v>
      </c>
      <c r="I120" s="59">
        <f>VLOOKUP(A120,'611'!D:F,3,FALSE)</f>
        <v>59570.06</v>
      </c>
      <c r="J120" s="59">
        <f>VLOOKUP(A120,'611'!D:Q,14,FALSE)</f>
        <v>59570.06</v>
      </c>
      <c r="K120" s="59">
        <f>VLOOKUP(A120,'611'!D:Q,14,FALSE)</f>
        <v>59570.06</v>
      </c>
      <c r="O120" t="s">
        <v>531</v>
      </c>
      <c r="P120" t="str">
        <f>_xlfn.IFNA(VLOOKUP(A120,IndirectCost!B:L,11,FALSE),"")</f>
        <v/>
      </c>
      <c r="Q120">
        <f t="shared" si="1"/>
        <v>0</v>
      </c>
    </row>
    <row r="121" spans="1:17">
      <c r="A121" t="s">
        <v>118</v>
      </c>
      <c r="B121" t="s">
        <v>663</v>
      </c>
      <c r="C121" t="str">
        <f>VLOOKUP(A121,Districts!A:I,9,FALSE)</f>
        <v>Benjamin Franklin Charter School</v>
      </c>
      <c r="D121" t="str">
        <f>VLOOKUP(A121,Districts!A:P,16,FALSE)</f>
        <v>MBJ1JFH9W4N9</v>
      </c>
      <c r="E121" t="s">
        <v>528</v>
      </c>
      <c r="F121" s="1">
        <v>45200</v>
      </c>
      <c r="G121" t="s">
        <v>529</v>
      </c>
      <c r="H121" t="s">
        <v>530</v>
      </c>
      <c r="I121" s="59">
        <f>VLOOKUP(A121,'611'!D:F,3,FALSE)</f>
        <v>418075.62</v>
      </c>
      <c r="J121" s="59">
        <f>VLOOKUP(A121,'611'!D:Q,14,FALSE)</f>
        <v>418075.62</v>
      </c>
      <c r="K121" s="59">
        <f>VLOOKUP(A121,'611'!D:Q,14,FALSE)</f>
        <v>418075.62</v>
      </c>
      <c r="O121" t="s">
        <v>531</v>
      </c>
      <c r="P121">
        <f>_xlfn.IFNA(VLOOKUP(A121,IndirectCost!B:L,11,FALSE),"")</f>
        <v>8</v>
      </c>
      <c r="Q121">
        <f t="shared" si="1"/>
        <v>0.08</v>
      </c>
    </row>
    <row r="122" spans="1:17">
      <c r="A122" t="s">
        <v>119</v>
      </c>
      <c r="B122" t="s">
        <v>664</v>
      </c>
      <c r="C122" t="str">
        <f>VLOOKUP(A122,Districts!A:I,9,FALSE)</f>
        <v>Benson Unified School District #9</v>
      </c>
      <c r="D122" t="str">
        <f>VLOOKUP(A122,Districts!A:P,16,FALSE)</f>
        <v>P3JEK2TYZNA3</v>
      </c>
      <c r="E122" t="s">
        <v>528</v>
      </c>
      <c r="F122" s="1">
        <v>45200</v>
      </c>
      <c r="G122" t="s">
        <v>529</v>
      </c>
      <c r="H122" t="s">
        <v>530</v>
      </c>
      <c r="I122" s="59">
        <f>VLOOKUP(A122,'611'!D:F,3,FALSE)</f>
        <v>281849.86</v>
      </c>
      <c r="J122" s="59">
        <f>VLOOKUP(A122,'611'!D:Q,14,FALSE)</f>
        <v>292587.90999999997</v>
      </c>
      <c r="K122" s="59">
        <f>VLOOKUP(A122,'611'!D:Q,14,FALSE)</f>
        <v>292587.90999999997</v>
      </c>
      <c r="O122" t="s">
        <v>531</v>
      </c>
      <c r="P122" t="str">
        <f>_xlfn.IFNA(VLOOKUP(A122,IndirectCost!B:L,11,FALSE),"")</f>
        <v/>
      </c>
      <c r="Q122">
        <f t="shared" si="1"/>
        <v>0</v>
      </c>
    </row>
    <row r="123" spans="1:17">
      <c r="A123" t="s">
        <v>665</v>
      </c>
      <c r="B123" t="s">
        <v>666</v>
      </c>
      <c r="C123" t="str">
        <f>VLOOKUP(A123,Districts!A:I,9,FALSE)</f>
        <v>BICENTENNIAL UNION HIGH SCHOOL DISTRICT</v>
      </c>
      <c r="D123" t="str">
        <f>VLOOKUP(A123,Districts!A:P,16,FALSE)</f>
        <v>JHJBUG95NZ36</v>
      </c>
      <c r="E123" t="s">
        <v>528</v>
      </c>
      <c r="F123" s="1">
        <v>45200</v>
      </c>
      <c r="G123" t="s">
        <v>529</v>
      </c>
      <c r="H123" t="s">
        <v>530</v>
      </c>
      <c r="I123" s="59">
        <f>VLOOKUP(A123,'611'!D:F,3,FALSE)</f>
        <v>34011.94</v>
      </c>
      <c r="J123" s="59">
        <f>VLOOKUP(A123,'611'!D:Q,14,FALSE)</f>
        <v>42688.800000000003</v>
      </c>
      <c r="K123" s="59">
        <f>VLOOKUP(A123,'611'!D:Q,14,FALSE)</f>
        <v>42688.800000000003</v>
      </c>
      <c r="O123" t="s">
        <v>531</v>
      </c>
      <c r="P123">
        <f>_xlfn.IFNA(VLOOKUP(A123,IndirectCost!B:L,11,FALSE),"")</f>
        <v>8</v>
      </c>
      <c r="Q123">
        <f t="shared" si="1"/>
        <v>0.08</v>
      </c>
    </row>
    <row r="124" spans="1:17">
      <c r="A124" t="s">
        <v>120</v>
      </c>
      <c r="B124" t="s">
        <v>667</v>
      </c>
      <c r="C124" t="str">
        <f>VLOOKUP(A124,Districts!A:I,9,FALSE)</f>
        <v>Bisbee Unified School District #2</v>
      </c>
      <c r="D124" t="str">
        <f>VLOOKUP(A124,Districts!A:P,16,FALSE)</f>
        <v>NBCLMCE4N4J7</v>
      </c>
      <c r="E124" t="s">
        <v>528</v>
      </c>
      <c r="F124" s="1">
        <v>45200</v>
      </c>
      <c r="G124" t="s">
        <v>529</v>
      </c>
      <c r="H124" t="s">
        <v>530</v>
      </c>
      <c r="I124" s="59">
        <f>VLOOKUP(A124,'611'!D:F,3,FALSE)</f>
        <v>129617.81</v>
      </c>
      <c r="J124" s="59">
        <f>VLOOKUP(A124,'611'!D:Q,14,FALSE)</f>
        <v>129617.81</v>
      </c>
      <c r="K124" s="59">
        <f>VLOOKUP(A124,'611'!D:Q,14,FALSE)</f>
        <v>129617.81</v>
      </c>
      <c r="O124" t="s">
        <v>531</v>
      </c>
      <c r="P124">
        <f>_xlfn.IFNA(VLOOKUP(A124,IndirectCost!B:L,11,FALSE),"")</f>
        <v>8</v>
      </c>
      <c r="Q124">
        <f t="shared" si="1"/>
        <v>0.08</v>
      </c>
    </row>
    <row r="125" spans="1:17">
      <c r="A125" t="s">
        <v>668</v>
      </c>
      <c r="B125" t="s">
        <v>669</v>
      </c>
      <c r="C125" t="str">
        <f>VLOOKUP(A125,Districts!A:I,9,FALSE)</f>
        <v>Blue Adobe Project</v>
      </c>
      <c r="D125" t="str">
        <f>VLOOKUP(A125,Districts!A:P,16,FALSE)</f>
        <v>F12NZNQA18L7</v>
      </c>
      <c r="E125" t="s">
        <v>528</v>
      </c>
      <c r="F125" s="1">
        <v>45200</v>
      </c>
      <c r="G125" t="s">
        <v>529</v>
      </c>
      <c r="H125" t="s">
        <v>530</v>
      </c>
      <c r="I125" s="59">
        <f>VLOOKUP(A125,'611'!D:F,3,FALSE)</f>
        <v>12591.9</v>
      </c>
      <c r="J125" s="59">
        <f>VLOOKUP(A125,'611'!D:Q,14,FALSE)</f>
        <v>12591.9</v>
      </c>
      <c r="K125" s="59">
        <f>VLOOKUP(A125,'611'!D:Q,14,FALSE)</f>
        <v>12591.9</v>
      </c>
      <c r="O125" t="s">
        <v>531</v>
      </c>
      <c r="P125">
        <f>_xlfn.IFNA(VLOOKUP(A125,IndirectCost!B:L,11,FALSE),"")</f>
        <v>8</v>
      </c>
      <c r="Q125">
        <f t="shared" si="1"/>
        <v>0.08</v>
      </c>
    </row>
    <row r="126" spans="1:17">
      <c r="A126" t="s">
        <v>121</v>
      </c>
      <c r="B126" t="s">
        <v>670</v>
      </c>
      <c r="C126" t="str">
        <f>VLOOKUP(A126,Districts!A:I,9,FALSE)</f>
        <v>Blue Ridge School District</v>
      </c>
      <c r="D126" t="str">
        <f>VLOOKUP(A126,Districts!A:P,16,FALSE)</f>
        <v>YEKZAX5XCW35</v>
      </c>
      <c r="E126" t="s">
        <v>528</v>
      </c>
      <c r="F126" s="1">
        <v>45200</v>
      </c>
      <c r="G126" t="s">
        <v>529</v>
      </c>
      <c r="H126" t="s">
        <v>530</v>
      </c>
      <c r="I126" s="59">
        <f>VLOOKUP(A126,'611'!D:F,3,FALSE)</f>
        <v>434374.1</v>
      </c>
      <c r="J126" s="59">
        <f>VLOOKUP(A126,'611'!D:Q,14,FALSE)</f>
        <v>466001.99</v>
      </c>
      <c r="K126" s="59">
        <f>VLOOKUP(A126,'611'!D:Q,14,FALSE)</f>
        <v>466001.99</v>
      </c>
      <c r="O126" t="s">
        <v>531</v>
      </c>
      <c r="P126">
        <f>_xlfn.IFNA(VLOOKUP(A126,IndirectCost!B:L,11,FALSE),"")</f>
        <v>8</v>
      </c>
      <c r="Q126">
        <f t="shared" si="1"/>
        <v>0.08</v>
      </c>
    </row>
    <row r="127" spans="1:17">
      <c r="A127" t="s">
        <v>671</v>
      </c>
      <c r="B127" t="s">
        <v>672</v>
      </c>
      <c r="C127" t="str">
        <f>VLOOKUP(A127,Districts!A:I,9,FALSE)</f>
        <v>Blueprint Education Inc</v>
      </c>
      <c r="D127" t="str">
        <f>VLOOKUP(A127,Districts!A:P,16,FALSE)</f>
        <v>HDQRVUGMVPR9</v>
      </c>
      <c r="E127" t="s">
        <v>528</v>
      </c>
      <c r="F127" s="1">
        <v>45200</v>
      </c>
      <c r="G127" t="s">
        <v>529</v>
      </c>
      <c r="H127" t="s">
        <v>530</v>
      </c>
      <c r="I127" s="59">
        <f>VLOOKUP(A127,'611'!D:F,3,FALSE)</f>
        <v>94121.96</v>
      </c>
      <c r="J127" s="59">
        <f>VLOOKUP(A127,'611'!D:Q,14,FALSE)</f>
        <v>94121.96</v>
      </c>
      <c r="K127" s="59">
        <f>VLOOKUP(A127,'611'!D:Q,14,FALSE)</f>
        <v>94121.96</v>
      </c>
      <c r="O127" t="s">
        <v>531</v>
      </c>
      <c r="P127" t="str">
        <f>_xlfn.IFNA(VLOOKUP(A127,IndirectCost!B:L,11,FALSE),"")</f>
        <v/>
      </c>
      <c r="Q127">
        <f t="shared" si="1"/>
        <v>0</v>
      </c>
    </row>
    <row r="128" spans="1:17">
      <c r="A128" t="s">
        <v>122</v>
      </c>
      <c r="B128" t="s">
        <v>673</v>
      </c>
      <c r="C128" t="str">
        <f>VLOOKUP(A128,Districts!A:I,9,FALSE)</f>
        <v>Bonita Elementary School District</v>
      </c>
      <c r="D128" t="str">
        <f>VLOOKUP(A128,Districts!A:P,16,FALSE)</f>
        <v>J996A1LHJ1F9</v>
      </c>
      <c r="E128" t="s">
        <v>528</v>
      </c>
      <c r="F128" s="1">
        <v>45200</v>
      </c>
      <c r="G128" t="s">
        <v>529</v>
      </c>
      <c r="H128" t="s">
        <v>530</v>
      </c>
      <c r="I128" s="59">
        <f>VLOOKUP(A128,'611'!D:F,3,FALSE)</f>
        <v>16676.34</v>
      </c>
      <c r="J128" s="59">
        <f>VLOOKUP(A128,'611'!D:Q,14,FALSE)</f>
        <v>16676.34</v>
      </c>
      <c r="K128" s="59">
        <f>VLOOKUP(A128,'611'!D:Q,14,FALSE)</f>
        <v>16676.34</v>
      </c>
      <c r="O128" t="s">
        <v>531</v>
      </c>
      <c r="P128" t="str">
        <f>_xlfn.IFNA(VLOOKUP(A128,IndirectCost!B:L,11,FALSE),"")</f>
        <v/>
      </c>
      <c r="Q128">
        <f t="shared" si="1"/>
        <v>0</v>
      </c>
    </row>
    <row r="129" spans="1:17">
      <c r="A129" t="s">
        <v>123</v>
      </c>
      <c r="B129" t="s">
        <v>674</v>
      </c>
      <c r="C129" t="str">
        <f>VLOOKUP(A129,Districts!A:I,9,FALSE)</f>
        <v>Bouse Elementary School District</v>
      </c>
      <c r="D129" t="str">
        <f>VLOOKUP(A129,Districts!A:P,16,FALSE)</f>
        <v>S8N8FF66SJL5</v>
      </c>
      <c r="E129" t="s">
        <v>528</v>
      </c>
      <c r="F129" s="1">
        <v>45200</v>
      </c>
      <c r="G129" t="s">
        <v>529</v>
      </c>
      <c r="H129" t="s">
        <v>530</v>
      </c>
      <c r="I129" s="59">
        <f>VLOOKUP(A129,'611'!D:F,3,FALSE)</f>
        <v>9399.57</v>
      </c>
      <c r="J129" s="59">
        <f>VLOOKUP(A129,'611'!D:Q,14,FALSE)</f>
        <v>16185.26</v>
      </c>
      <c r="K129" s="59">
        <f>VLOOKUP(A129,'611'!D:Q,14,FALSE)</f>
        <v>16185.26</v>
      </c>
      <c r="O129" t="s">
        <v>531</v>
      </c>
      <c r="P129" t="str">
        <f>_xlfn.IFNA(VLOOKUP(A129,IndirectCost!B:L,11,FALSE),"")</f>
        <v/>
      </c>
      <c r="Q129">
        <f t="shared" si="1"/>
        <v>0</v>
      </c>
    </row>
    <row r="130" spans="1:17">
      <c r="A130" t="s">
        <v>124</v>
      </c>
      <c r="B130" t="s">
        <v>675</v>
      </c>
      <c r="C130" t="str">
        <f>VLOOKUP(A130,Districts!A:I,9,FALSE)</f>
        <v>Bowie Unified District</v>
      </c>
      <c r="D130" t="str">
        <f>VLOOKUP(A130,Districts!A:P,16,FALSE)</f>
        <v>MRLVMKXM3GJ3</v>
      </c>
      <c r="E130" t="s">
        <v>528</v>
      </c>
      <c r="F130" s="1">
        <v>45200</v>
      </c>
      <c r="G130" t="s">
        <v>529</v>
      </c>
      <c r="H130" t="s">
        <v>530</v>
      </c>
      <c r="I130" s="59">
        <f>VLOOKUP(A130,'611'!D:F,3,FALSE)</f>
        <v>21451.25</v>
      </c>
      <c r="J130" s="59">
        <f>VLOOKUP(A130,'611'!D:Q,14,FALSE)</f>
        <v>21451.25</v>
      </c>
      <c r="K130" s="59">
        <f>VLOOKUP(A130,'611'!D:Q,14,FALSE)</f>
        <v>21451.25</v>
      </c>
      <c r="O130" t="s">
        <v>531</v>
      </c>
      <c r="P130" t="str">
        <f>_xlfn.IFNA(VLOOKUP(A130,IndirectCost!B:L,11,FALSE),"")</f>
        <v/>
      </c>
      <c r="Q130">
        <f t="shared" si="1"/>
        <v>0</v>
      </c>
    </row>
    <row r="131" spans="1:17">
      <c r="A131" t="s">
        <v>125</v>
      </c>
      <c r="B131" t="s">
        <v>676</v>
      </c>
      <c r="C131" t="str">
        <f>VLOOKUP(A131,Districts!A:I,9,FALSE)</f>
        <v>BUCKEYE ELEMENTARY SCHOOL DISTRICT 33</v>
      </c>
      <c r="D131" t="str">
        <f>VLOOKUP(A131,Districts!A:P,16,FALSE)</f>
        <v>GC1PLJC48PF3</v>
      </c>
      <c r="E131" t="s">
        <v>528</v>
      </c>
      <c r="F131" s="1">
        <v>45200</v>
      </c>
      <c r="G131" t="s">
        <v>529</v>
      </c>
      <c r="H131" t="s">
        <v>530</v>
      </c>
      <c r="I131" s="59">
        <f>VLOOKUP(A131,'611'!D:F,3,FALSE)</f>
        <v>979918.5</v>
      </c>
      <c r="J131" s="59">
        <f>VLOOKUP(A131,'611'!D:Q,14,FALSE)</f>
        <v>1009557.37</v>
      </c>
      <c r="K131" s="59">
        <f>VLOOKUP(A131,'611'!D:Q,14,FALSE)</f>
        <v>1009557.37</v>
      </c>
      <c r="O131" t="s">
        <v>531</v>
      </c>
      <c r="P131">
        <f>_xlfn.IFNA(VLOOKUP(A131,IndirectCost!B:L,11,FALSE),"")</f>
        <v>5.05</v>
      </c>
      <c r="Q131">
        <f t="shared" si="1"/>
        <v>5.0499999999999996E-2</v>
      </c>
    </row>
    <row r="132" spans="1:17">
      <c r="A132" t="s">
        <v>677</v>
      </c>
      <c r="B132" t="s">
        <v>678</v>
      </c>
      <c r="C132" t="str">
        <f>VLOOKUP(A132,Districts!A:I,9,FALSE)</f>
        <v>Buckeye Union High School District</v>
      </c>
      <c r="D132" t="str">
        <f>VLOOKUP(A132,Districts!A:P,16,FALSE)</f>
        <v>F1MGYK4MWLH9</v>
      </c>
      <c r="E132" t="s">
        <v>528</v>
      </c>
      <c r="F132" s="1">
        <v>45200</v>
      </c>
      <c r="G132" t="s">
        <v>529</v>
      </c>
      <c r="H132" t="s">
        <v>530</v>
      </c>
      <c r="I132" s="59">
        <f>VLOOKUP(A132,'611'!D:F,3,FALSE)</f>
        <v>920896.16</v>
      </c>
      <c r="J132" s="59">
        <f>VLOOKUP(A132,'611'!D:Q,14,FALSE)</f>
        <v>923295.31</v>
      </c>
      <c r="K132" s="59">
        <f>VLOOKUP(A132,'611'!D:Q,14,FALSE)</f>
        <v>923295.31</v>
      </c>
      <c r="O132" t="s">
        <v>531</v>
      </c>
      <c r="P132">
        <f>_xlfn.IFNA(VLOOKUP(A132,IndirectCost!B:L,11,FALSE),"")</f>
        <v>4.0599999999999996</v>
      </c>
      <c r="Q132">
        <f t="shared" ref="Q132:Q195" si="2">IFERROR(P132/100,0)</f>
        <v>4.0599999999999997E-2</v>
      </c>
    </row>
    <row r="133" spans="1:17">
      <c r="A133" t="s">
        <v>126</v>
      </c>
      <c r="B133" t="s">
        <v>679</v>
      </c>
      <c r="C133" t="str">
        <f>VLOOKUP(A133,Districts!A:I,9,FALSE)</f>
        <v>Bullhead City School District 15</v>
      </c>
      <c r="D133" t="str">
        <f>VLOOKUP(A133,Districts!A:P,16,FALSE)</f>
        <v>LW9MQ2AH7XU4</v>
      </c>
      <c r="E133" t="s">
        <v>528</v>
      </c>
      <c r="F133" s="1">
        <v>45200</v>
      </c>
      <c r="G133" t="s">
        <v>529</v>
      </c>
      <c r="H133" t="s">
        <v>530</v>
      </c>
      <c r="I133" s="59">
        <f>VLOOKUP(A133,'611'!D:F,3,FALSE)</f>
        <v>572240.47</v>
      </c>
      <c r="J133" s="59">
        <f>VLOOKUP(A133,'611'!D:Q,14,FALSE)</f>
        <v>701544.5</v>
      </c>
      <c r="K133" s="59">
        <f>VLOOKUP(A133,'611'!D:Q,14,FALSE)</f>
        <v>701544.5</v>
      </c>
      <c r="O133" t="s">
        <v>531</v>
      </c>
      <c r="P133">
        <f>_xlfn.IFNA(VLOOKUP(A133,IndirectCost!B:L,11,FALSE),"")</f>
        <v>0</v>
      </c>
      <c r="Q133">
        <f t="shared" si="2"/>
        <v>0</v>
      </c>
    </row>
    <row r="134" spans="1:17">
      <c r="A134" t="s">
        <v>127</v>
      </c>
      <c r="B134" t="s">
        <v>680</v>
      </c>
      <c r="C134" t="str">
        <f>VLOOKUP(A134,Districts!A:I,9,FALSE)</f>
        <v>CAFA, Inc. Learning Foundation and Performing Arts</v>
      </c>
      <c r="D134" t="str">
        <f>VLOOKUP(A134,Districts!A:P,16,FALSE)</f>
        <v>KWMHJKN9T5J4</v>
      </c>
      <c r="E134" t="s">
        <v>528</v>
      </c>
      <c r="F134" s="1">
        <v>45200</v>
      </c>
      <c r="G134" t="s">
        <v>529</v>
      </c>
      <c r="H134" t="s">
        <v>530</v>
      </c>
      <c r="I134" s="59">
        <f>VLOOKUP(A134,'611'!D:F,3,FALSE)</f>
        <v>110161.74</v>
      </c>
      <c r="J134" s="59">
        <f>VLOOKUP(A134,'611'!D:Q,14,FALSE)</f>
        <v>110161.74</v>
      </c>
      <c r="K134" s="59">
        <f>VLOOKUP(A134,'611'!D:Q,14,FALSE)</f>
        <v>110161.74</v>
      </c>
      <c r="O134" t="s">
        <v>531</v>
      </c>
      <c r="P134">
        <f>_xlfn.IFNA(VLOOKUP(A134,IndirectCost!B:L,11,FALSE),"")</f>
        <v>8</v>
      </c>
      <c r="Q134">
        <f t="shared" si="2"/>
        <v>0.08</v>
      </c>
    </row>
    <row r="135" spans="1:17">
      <c r="A135" t="s">
        <v>128</v>
      </c>
      <c r="B135" t="s">
        <v>681</v>
      </c>
      <c r="C135" t="str">
        <f>VLOOKUP(A135,Districts!A:I,9,FALSE)</f>
        <v>CAFA, Inc. Learning Foundation and Performing Arts</v>
      </c>
      <c r="D135" t="str">
        <f>VLOOKUP(A135,Districts!A:P,16,FALSE)</f>
        <v>KWMHJKN9T5J4</v>
      </c>
      <c r="E135" t="s">
        <v>528</v>
      </c>
      <c r="F135" s="1">
        <v>45200</v>
      </c>
      <c r="G135" t="s">
        <v>529</v>
      </c>
      <c r="H135" t="s">
        <v>530</v>
      </c>
      <c r="I135" s="59">
        <f>VLOOKUP(A135,'611'!D:F,3,FALSE)</f>
        <v>32682.7</v>
      </c>
      <c r="J135" s="59">
        <f>VLOOKUP(A135,'611'!D:Q,14,FALSE)</f>
        <v>32682.7</v>
      </c>
      <c r="K135" s="59">
        <f>VLOOKUP(A135,'611'!D:Q,14,FALSE)</f>
        <v>32682.7</v>
      </c>
      <c r="O135" t="s">
        <v>531</v>
      </c>
      <c r="P135">
        <f>_xlfn.IFNA(VLOOKUP(A135,IndirectCost!B:L,11,FALSE),"")</f>
        <v>8</v>
      </c>
      <c r="Q135">
        <f t="shared" si="2"/>
        <v>0.08</v>
      </c>
    </row>
    <row r="136" spans="1:17">
      <c r="A136" t="s">
        <v>129</v>
      </c>
      <c r="B136" t="s">
        <v>682</v>
      </c>
      <c r="C136" t="str">
        <f>VLOOKUP(A136,Districts!A:I,9,FALSE)</f>
        <v>Calibre Academy, Inc. dba Calibre Academy of Glendale</v>
      </c>
      <c r="D136" t="str">
        <f>VLOOKUP(A136,Districts!A:P,16,FALSE)</f>
        <v>DGT6N39LLTY7</v>
      </c>
      <c r="E136" t="s">
        <v>528</v>
      </c>
      <c r="F136" s="1">
        <v>45200</v>
      </c>
      <c r="G136" t="s">
        <v>529</v>
      </c>
      <c r="H136" t="s">
        <v>530</v>
      </c>
      <c r="I136" s="59">
        <f>VLOOKUP(A136,'611'!D:F,3,FALSE)</f>
        <v>89321.46</v>
      </c>
      <c r="J136" s="59">
        <f>VLOOKUP(A136,'611'!D:Q,14,FALSE)</f>
        <v>89321.46</v>
      </c>
      <c r="K136" s="59">
        <f>VLOOKUP(A136,'611'!D:Q,14,FALSE)</f>
        <v>89321.46</v>
      </c>
      <c r="O136" t="s">
        <v>531</v>
      </c>
      <c r="P136" t="str">
        <f>_xlfn.IFNA(VLOOKUP(A136,IndirectCost!B:L,11,FALSE),"")</f>
        <v/>
      </c>
      <c r="Q136">
        <f t="shared" si="2"/>
        <v>0</v>
      </c>
    </row>
    <row r="137" spans="1:17">
      <c r="A137" t="s">
        <v>130</v>
      </c>
      <c r="B137" t="s">
        <v>683</v>
      </c>
      <c r="C137" t="str">
        <f>VLOOKUP(A137,Districts!A:I,9,FALSE)</f>
        <v>Cambridge Academy East Inc</v>
      </c>
      <c r="D137" t="str">
        <f>VLOOKUP(A137,Districts!A:P,16,FALSE)</f>
        <v>RCADN5HVLC39</v>
      </c>
      <c r="E137" t="s">
        <v>528</v>
      </c>
      <c r="F137" s="1">
        <v>45200</v>
      </c>
      <c r="G137" t="s">
        <v>529</v>
      </c>
      <c r="H137" t="s">
        <v>530</v>
      </c>
      <c r="I137" s="59">
        <f>VLOOKUP(A137,'611'!D:F,3,FALSE)</f>
        <v>29089.66</v>
      </c>
      <c r="J137" s="59">
        <f>VLOOKUP(A137,'611'!D:Q,14,FALSE)</f>
        <v>29089.66</v>
      </c>
      <c r="K137" s="59">
        <f>VLOOKUP(A137,'611'!D:Q,14,FALSE)</f>
        <v>29089.66</v>
      </c>
      <c r="O137" t="s">
        <v>531</v>
      </c>
      <c r="P137" t="str">
        <f>_xlfn.IFNA(VLOOKUP(A137,IndirectCost!B:L,11,FALSE),"")</f>
        <v/>
      </c>
      <c r="Q137">
        <f t="shared" si="2"/>
        <v>0</v>
      </c>
    </row>
    <row r="138" spans="1:17">
      <c r="A138" t="s">
        <v>131</v>
      </c>
      <c r="B138" t="s">
        <v>684</v>
      </c>
      <c r="C138" t="str">
        <f>VLOOKUP(A138,Districts!A:I,9,FALSE)</f>
        <v>Camelback Academy</v>
      </c>
      <c r="D138" t="str">
        <f>VLOOKUP(A138,Districts!A:P,16,FALSE)</f>
        <v>VYZGLRJBLA24</v>
      </c>
      <c r="E138" t="s">
        <v>528</v>
      </c>
      <c r="F138" s="1">
        <v>45200</v>
      </c>
      <c r="G138" t="s">
        <v>529</v>
      </c>
      <c r="H138" t="s">
        <v>530</v>
      </c>
      <c r="I138" s="59">
        <f>VLOOKUP(A138,'611'!D:F,3,FALSE)</f>
        <v>100829.43</v>
      </c>
      <c r="J138" s="59">
        <f>VLOOKUP(A138,'611'!D:Q,14,FALSE)</f>
        <v>100829.43</v>
      </c>
      <c r="K138" s="59">
        <f>VLOOKUP(A138,'611'!D:Q,14,FALSE)</f>
        <v>100829.43</v>
      </c>
      <c r="O138" t="s">
        <v>531</v>
      </c>
      <c r="P138" t="str">
        <f>_xlfn.IFNA(VLOOKUP(A138,IndirectCost!B:L,11,FALSE),"")</f>
        <v/>
      </c>
      <c r="Q138">
        <f t="shared" si="2"/>
        <v>0</v>
      </c>
    </row>
    <row r="139" spans="1:17">
      <c r="A139" t="s">
        <v>132</v>
      </c>
      <c r="B139" t="s">
        <v>685</v>
      </c>
      <c r="C139" t="str">
        <f>VLOOKUP(A139,Districts!A:I,9,FALSE)</f>
        <v>Camp Verde Unified School District</v>
      </c>
      <c r="D139" t="str">
        <f>VLOOKUP(A139,Districts!A:P,16,FALSE)</f>
        <v>HJX3CXELDND9</v>
      </c>
      <c r="E139" t="s">
        <v>528</v>
      </c>
      <c r="F139" s="1">
        <v>45200</v>
      </c>
      <c r="G139" t="s">
        <v>529</v>
      </c>
      <c r="H139" t="s">
        <v>530</v>
      </c>
      <c r="I139" s="59">
        <f>VLOOKUP(A139,'611'!D:F,3,FALSE)</f>
        <v>373248.52</v>
      </c>
      <c r="J139" s="59">
        <f>VLOOKUP(A139,'611'!D:Q,14,FALSE)</f>
        <v>427465.73</v>
      </c>
      <c r="K139" s="59">
        <f>VLOOKUP(A139,'611'!D:Q,14,FALSE)</f>
        <v>427465.73</v>
      </c>
      <c r="O139" t="s">
        <v>531</v>
      </c>
      <c r="P139">
        <f>_xlfn.IFNA(VLOOKUP(A139,IndirectCost!B:L,11,FALSE),"")</f>
        <v>2.82</v>
      </c>
      <c r="Q139">
        <f t="shared" si="2"/>
        <v>2.8199999999999999E-2</v>
      </c>
    </row>
    <row r="140" spans="1:17">
      <c r="A140" t="s">
        <v>134</v>
      </c>
      <c r="B140" t="s">
        <v>686</v>
      </c>
      <c r="C140" t="str">
        <f>VLOOKUP(A140,Districts!A:I,9,FALSE)</f>
        <v>Candeo Schools Inc</v>
      </c>
      <c r="D140" t="str">
        <f>VLOOKUP(A140,Districts!A:P,16,FALSE)</f>
        <v>M77QJNULMZN1</v>
      </c>
      <c r="E140" t="s">
        <v>528</v>
      </c>
      <c r="F140" s="1">
        <v>45200</v>
      </c>
      <c r="G140" t="s">
        <v>529</v>
      </c>
      <c r="H140" t="s">
        <v>530</v>
      </c>
      <c r="I140" s="59">
        <f>VLOOKUP(A140,'611'!D:F,3,FALSE)</f>
        <v>47653.51</v>
      </c>
      <c r="J140" s="59">
        <f>VLOOKUP(A140,'611'!D:Q,14,FALSE)</f>
        <v>47653.51</v>
      </c>
      <c r="K140" s="59">
        <f>VLOOKUP(A140,'611'!D:Q,14,FALSE)</f>
        <v>47653.51</v>
      </c>
      <c r="O140" t="s">
        <v>531</v>
      </c>
      <c r="P140" t="str">
        <f>_xlfn.IFNA(VLOOKUP(A140,IndirectCost!B:L,11,FALSE),"")</f>
        <v/>
      </c>
      <c r="Q140">
        <f t="shared" si="2"/>
        <v>0</v>
      </c>
    </row>
    <row r="141" spans="1:17">
      <c r="A141" t="s">
        <v>133</v>
      </c>
      <c r="B141" t="s">
        <v>686</v>
      </c>
      <c r="C141" t="str">
        <f>VLOOKUP(A141,Districts!A:I,9,FALSE)</f>
        <v>Candeo Schools Inc</v>
      </c>
      <c r="D141" t="str">
        <f>VLOOKUP(A141,Districts!A:P,16,FALSE)</f>
        <v>M77QJNULMZN1</v>
      </c>
      <c r="E141" t="s">
        <v>528</v>
      </c>
      <c r="F141" s="1">
        <v>45200</v>
      </c>
      <c r="G141" t="s">
        <v>529</v>
      </c>
      <c r="H141" t="s">
        <v>530</v>
      </c>
      <c r="I141" s="59">
        <f>VLOOKUP(A141,'611'!D:F,3,FALSE)</f>
        <v>77811.240000000005</v>
      </c>
      <c r="J141" s="59">
        <f>VLOOKUP(A141,'611'!D:Q,14,FALSE)</f>
        <v>77811.240000000005</v>
      </c>
      <c r="K141" s="59">
        <f>VLOOKUP(A141,'611'!D:Q,14,FALSE)</f>
        <v>77811.240000000005</v>
      </c>
      <c r="O141" t="s">
        <v>531</v>
      </c>
      <c r="P141" t="str">
        <f>_xlfn.IFNA(VLOOKUP(A141,IndirectCost!B:L,11,FALSE),"")</f>
        <v/>
      </c>
      <c r="Q141">
        <f t="shared" si="2"/>
        <v>0</v>
      </c>
    </row>
    <row r="142" spans="1:17">
      <c r="A142" t="s">
        <v>135</v>
      </c>
      <c r="B142" t="s">
        <v>687</v>
      </c>
      <c r="C142" t="str">
        <f>VLOOKUP(A142,Districts!A:I,9,FALSE)</f>
        <v>Canon School District 50</v>
      </c>
      <c r="D142" t="str">
        <f>VLOOKUP(A142,Districts!A:P,16,FALSE)</f>
        <v>LUMVGSJZM4L6</v>
      </c>
      <c r="E142" t="s">
        <v>528</v>
      </c>
      <c r="F142" s="1">
        <v>45200</v>
      </c>
      <c r="G142" t="s">
        <v>529</v>
      </c>
      <c r="H142" t="s">
        <v>530</v>
      </c>
      <c r="I142" s="59">
        <f>VLOOKUP(A142,'611'!D:F,3,FALSE)</f>
        <v>51446.54</v>
      </c>
      <c r="J142" s="59">
        <f>VLOOKUP(A142,'611'!D:Q,14,FALSE)</f>
        <v>54479.35</v>
      </c>
      <c r="K142" s="59">
        <f>VLOOKUP(A142,'611'!D:Q,14,FALSE)</f>
        <v>54479.35</v>
      </c>
      <c r="O142" t="s">
        <v>531</v>
      </c>
      <c r="P142" t="str">
        <f>_xlfn.IFNA(VLOOKUP(A142,IndirectCost!B:L,11,FALSE),"")</f>
        <v/>
      </c>
      <c r="Q142">
        <f t="shared" si="2"/>
        <v>0</v>
      </c>
    </row>
    <row r="143" spans="1:17">
      <c r="A143" t="s">
        <v>136</v>
      </c>
      <c r="B143" t="s">
        <v>688</v>
      </c>
      <c r="C143" t="str">
        <f>VLOOKUP(A143,Districts!A:I,9,FALSE)</f>
        <v>Carden of Tucson</v>
      </c>
      <c r="D143" t="str">
        <f>VLOOKUP(A143,Districts!A:P,16,FALSE)</f>
        <v>DQKXJDAUMDU9</v>
      </c>
      <c r="E143" t="s">
        <v>528</v>
      </c>
      <c r="F143" s="1">
        <v>45200</v>
      </c>
      <c r="G143" t="s">
        <v>529</v>
      </c>
      <c r="H143" t="s">
        <v>530</v>
      </c>
      <c r="I143" s="59">
        <f>VLOOKUP(A143,'611'!D:F,3,FALSE)</f>
        <v>9583.0400000000009</v>
      </c>
      <c r="J143" s="59">
        <f>VLOOKUP(A143,'611'!D:Q,14,FALSE)</f>
        <v>0</v>
      </c>
      <c r="K143" s="59">
        <f>VLOOKUP(A143,'611'!D:Q,14,FALSE)</f>
        <v>0</v>
      </c>
      <c r="O143" t="s">
        <v>531</v>
      </c>
      <c r="P143" t="str">
        <f>_xlfn.IFNA(VLOOKUP(A143,IndirectCost!B:L,11,FALSE),"")</f>
        <v/>
      </c>
      <c r="Q143">
        <f t="shared" si="2"/>
        <v>0</v>
      </c>
    </row>
    <row r="144" spans="1:17">
      <c r="A144" t="s">
        <v>689</v>
      </c>
      <c r="B144" t="s">
        <v>690</v>
      </c>
      <c r="C144" t="str">
        <f>VLOOKUP(A144,Districts!A:I,9,FALSE)</f>
        <v>Career Development Inc dba NORTHERN ARIZONA ACADEMY - TAYLOR CAMPUS</v>
      </c>
      <c r="D144" t="str">
        <f>VLOOKUP(A144,Districts!A:P,16,FALSE)</f>
        <v>LNU2A1123GG3</v>
      </c>
      <c r="E144" t="s">
        <v>528</v>
      </c>
      <c r="F144" s="1">
        <v>45200</v>
      </c>
      <c r="G144" t="s">
        <v>529</v>
      </c>
      <c r="H144" t="s">
        <v>530</v>
      </c>
      <c r="I144" s="59">
        <f>VLOOKUP(A144,'611'!D:F,3,FALSE)</f>
        <v>20966</v>
      </c>
      <c r="J144" s="59">
        <f>VLOOKUP(A144,'611'!D:Q,14,FALSE)</f>
        <v>20966</v>
      </c>
      <c r="K144" s="59">
        <f>VLOOKUP(A144,'611'!D:Q,14,FALSE)</f>
        <v>20966</v>
      </c>
      <c r="O144" t="s">
        <v>531</v>
      </c>
      <c r="P144">
        <f>_xlfn.IFNA(VLOOKUP(A144,IndirectCost!B:L,11,FALSE),"")</f>
        <v>8</v>
      </c>
      <c r="Q144">
        <f t="shared" si="2"/>
        <v>0.08</v>
      </c>
    </row>
    <row r="145" spans="1:17">
      <c r="A145" t="s">
        <v>137</v>
      </c>
      <c r="B145" t="s">
        <v>691</v>
      </c>
      <c r="C145" t="str">
        <f>VLOOKUP(A145,Districts!A:I,9,FALSE)</f>
        <v>Career Success Charter High Schools NP</v>
      </c>
      <c r="D145" t="str">
        <f>VLOOKUP(A145,Districts!A:P,16,FALSE)</f>
        <v>QQ4ZFJJXZJ34</v>
      </c>
      <c r="E145" t="s">
        <v>528</v>
      </c>
      <c r="F145" s="1">
        <v>45200</v>
      </c>
      <c r="G145" t="s">
        <v>529</v>
      </c>
      <c r="H145" t="s">
        <v>530</v>
      </c>
      <c r="I145" s="59">
        <f>VLOOKUP(A145,'611'!D:F,3,FALSE)</f>
        <v>178839.56</v>
      </c>
      <c r="J145" s="59">
        <f>VLOOKUP(A145,'611'!D:Q,14,FALSE)</f>
        <v>208584.34</v>
      </c>
      <c r="K145" s="59">
        <f>VLOOKUP(A145,'611'!D:Q,14,FALSE)</f>
        <v>208584.34</v>
      </c>
      <c r="O145" t="s">
        <v>531</v>
      </c>
      <c r="P145">
        <f>_xlfn.IFNA(VLOOKUP(A145,IndirectCost!B:L,11,FALSE),"")</f>
        <v>8</v>
      </c>
      <c r="Q145">
        <f t="shared" si="2"/>
        <v>0.08</v>
      </c>
    </row>
    <row r="146" spans="1:17">
      <c r="A146" t="s">
        <v>692</v>
      </c>
      <c r="B146" t="s">
        <v>693</v>
      </c>
      <c r="C146" t="str">
        <f>VLOOKUP(A146,Districts!A:I,9,FALSE)</f>
        <v>Carpe Diem Collegiate High School</v>
      </c>
      <c r="D146" t="str">
        <f>VLOOKUP(A146,Districts!A:P,16,FALSE)</f>
        <v>QRLWEH4PT1J8</v>
      </c>
      <c r="E146" t="s">
        <v>528</v>
      </c>
      <c r="F146" s="1">
        <v>45200</v>
      </c>
      <c r="G146" t="s">
        <v>529</v>
      </c>
      <c r="H146" t="s">
        <v>530</v>
      </c>
      <c r="I146" s="59">
        <f>VLOOKUP(A146,'611'!D:F,3,FALSE)</f>
        <v>30841.89</v>
      </c>
      <c r="J146" s="59">
        <f>VLOOKUP(A146,'611'!D:Q,14,FALSE)</f>
        <v>30841.89</v>
      </c>
      <c r="K146" s="59">
        <f>VLOOKUP(A146,'611'!D:Q,14,FALSE)</f>
        <v>30841.89</v>
      </c>
      <c r="O146" t="s">
        <v>531</v>
      </c>
      <c r="P146" t="str">
        <f>_xlfn.IFNA(VLOOKUP(A146,IndirectCost!B:L,11,FALSE),"")</f>
        <v/>
      </c>
      <c r="Q146">
        <f t="shared" si="2"/>
        <v>0</v>
      </c>
    </row>
    <row r="147" spans="1:17">
      <c r="A147" t="s">
        <v>138</v>
      </c>
      <c r="B147" t="s">
        <v>694</v>
      </c>
      <c r="C147" t="str">
        <f>VLOOKUP(A147,Districts!A:I,9,FALSE)</f>
        <v>Cartwright School District 83</v>
      </c>
      <c r="D147" t="str">
        <f>VLOOKUP(A147,Districts!A:P,16,FALSE)</f>
        <v>F8CPL2XK7VM4</v>
      </c>
      <c r="E147" t="s">
        <v>528</v>
      </c>
      <c r="F147" s="1">
        <v>45200</v>
      </c>
      <c r="G147" t="s">
        <v>529</v>
      </c>
      <c r="H147" t="s">
        <v>530</v>
      </c>
      <c r="I147" s="59">
        <f>VLOOKUP(A147,'611'!D:F,3,FALSE)</f>
        <v>3405212.09</v>
      </c>
      <c r="J147" s="59">
        <f>VLOOKUP(A147,'611'!D:Q,14,FALSE)</f>
        <v>4468251.8</v>
      </c>
      <c r="K147" s="59">
        <f>VLOOKUP(A147,'611'!D:Q,14,FALSE)</f>
        <v>4468251.8</v>
      </c>
      <c r="O147" t="s">
        <v>531</v>
      </c>
      <c r="P147">
        <f>_xlfn.IFNA(VLOOKUP(A147,IndirectCost!B:L,11,FALSE),"")</f>
        <v>4.88</v>
      </c>
      <c r="Q147">
        <f t="shared" si="2"/>
        <v>4.8799999999999996E-2</v>
      </c>
    </row>
    <row r="148" spans="1:17">
      <c r="A148" t="s">
        <v>139</v>
      </c>
      <c r="B148" t="s">
        <v>695</v>
      </c>
      <c r="C148" t="str">
        <f>VLOOKUP(A148,Districts!A:I,9,FALSE)</f>
        <v>CASA Academy</v>
      </c>
      <c r="D148" t="str">
        <f>VLOOKUP(A148,Districts!A:P,16,FALSE)</f>
        <v>L36CGX9MMSP5</v>
      </c>
      <c r="E148" t="s">
        <v>528</v>
      </c>
      <c r="F148" s="1">
        <v>45200</v>
      </c>
      <c r="G148" t="s">
        <v>529</v>
      </c>
      <c r="H148" t="s">
        <v>530</v>
      </c>
      <c r="I148" s="59">
        <f>VLOOKUP(A148,'611'!D:F,3,FALSE)</f>
        <v>51831.02</v>
      </c>
      <c r="J148" s="59">
        <f>VLOOKUP(A148,'611'!D:Q,14,FALSE)</f>
        <v>51831.02</v>
      </c>
      <c r="K148" s="59">
        <f>VLOOKUP(A148,'611'!D:Q,14,FALSE)</f>
        <v>51831.02</v>
      </c>
      <c r="O148" t="s">
        <v>531</v>
      </c>
      <c r="P148" t="str">
        <f>_xlfn.IFNA(VLOOKUP(A148,IndirectCost!B:L,11,FALSE),"")</f>
        <v/>
      </c>
      <c r="Q148">
        <f t="shared" si="2"/>
        <v>0</v>
      </c>
    </row>
    <row r="149" spans="1:17">
      <c r="A149" t="s">
        <v>140</v>
      </c>
      <c r="B149" t="s">
        <v>696</v>
      </c>
      <c r="C149" t="str">
        <f>VLOOKUP(A149,Districts!A:I,9,FALSE)</f>
        <v>Casa Grande Elementary School District</v>
      </c>
      <c r="D149" t="str">
        <f>VLOOKUP(A149,Districts!A:P,16,FALSE)</f>
        <v>KAWKU7NLSK53</v>
      </c>
      <c r="E149" t="s">
        <v>528</v>
      </c>
      <c r="F149" s="1">
        <v>45200</v>
      </c>
      <c r="G149" t="s">
        <v>529</v>
      </c>
      <c r="H149" t="s">
        <v>530</v>
      </c>
      <c r="I149" s="59">
        <f>VLOOKUP(A149,'611'!D:F,3,FALSE)</f>
        <v>1456367.08</v>
      </c>
      <c r="J149" s="59">
        <f>VLOOKUP(A149,'611'!D:Q,14,FALSE)</f>
        <v>1642910.97</v>
      </c>
      <c r="K149" s="59">
        <f>VLOOKUP(A149,'611'!D:Q,14,FALSE)</f>
        <v>1642910.97</v>
      </c>
      <c r="O149" t="s">
        <v>531</v>
      </c>
      <c r="P149">
        <f>_xlfn.IFNA(VLOOKUP(A149,IndirectCost!B:L,11,FALSE),"")</f>
        <v>3.17</v>
      </c>
      <c r="Q149">
        <f t="shared" si="2"/>
        <v>3.1699999999999999E-2</v>
      </c>
    </row>
    <row r="150" spans="1:17">
      <c r="A150" t="s">
        <v>697</v>
      </c>
      <c r="B150" t="s">
        <v>698</v>
      </c>
      <c r="C150" t="str">
        <f>VLOOKUP(A150,Districts!A:I,9,FALSE)</f>
        <v>Casa Grande Union High School District</v>
      </c>
      <c r="D150" t="str">
        <f>VLOOKUP(A150,Districts!A:P,16,FALSE)</f>
        <v>NVTNR5XZ1RA3</v>
      </c>
      <c r="E150" t="s">
        <v>528</v>
      </c>
      <c r="F150" s="1">
        <v>45200</v>
      </c>
      <c r="G150" t="s">
        <v>529</v>
      </c>
      <c r="H150" t="s">
        <v>530</v>
      </c>
      <c r="I150" s="59">
        <f>VLOOKUP(A150,'611'!D:F,3,FALSE)</f>
        <v>778136.06</v>
      </c>
      <c r="J150" s="59">
        <f>VLOOKUP(A150,'611'!D:Q,14,FALSE)</f>
        <v>1016505.68</v>
      </c>
      <c r="K150" s="59">
        <f>VLOOKUP(A150,'611'!D:Q,14,FALSE)</f>
        <v>1016505.68</v>
      </c>
      <c r="O150" t="s">
        <v>531</v>
      </c>
      <c r="P150">
        <f>_xlfn.IFNA(VLOOKUP(A150,IndirectCost!B:L,11,FALSE),"")</f>
        <v>7.82</v>
      </c>
      <c r="Q150">
        <f t="shared" si="2"/>
        <v>7.8200000000000006E-2</v>
      </c>
    </row>
    <row r="151" spans="1:17">
      <c r="A151" t="s">
        <v>141</v>
      </c>
      <c r="B151" t="s">
        <v>699</v>
      </c>
      <c r="C151" t="str">
        <f>VLOOKUP(A151,Districts!A:I,9,FALSE)</f>
        <v>Catalina Foothills Unified School Distri</v>
      </c>
      <c r="D151" t="str">
        <f>VLOOKUP(A151,Districts!A:P,16,FALSE)</f>
        <v>PL46DJGRKWT4</v>
      </c>
      <c r="E151" t="s">
        <v>528</v>
      </c>
      <c r="F151" s="1">
        <v>45200</v>
      </c>
      <c r="G151" t="s">
        <v>529</v>
      </c>
      <c r="H151" t="s">
        <v>530</v>
      </c>
      <c r="I151" s="59">
        <f>VLOOKUP(A151,'611'!D:F,3,FALSE)</f>
        <v>956315.39</v>
      </c>
      <c r="J151" s="59">
        <f>VLOOKUP(A151,'611'!D:Q,14,FALSE)</f>
        <v>1264905.6399999999</v>
      </c>
      <c r="K151" s="59">
        <f>VLOOKUP(A151,'611'!D:Q,14,FALSE)</f>
        <v>1264905.6399999999</v>
      </c>
      <c r="O151" t="s">
        <v>531</v>
      </c>
      <c r="P151">
        <f>_xlfn.IFNA(VLOOKUP(A151,IndirectCost!B:L,11,FALSE),"")</f>
        <v>3.53</v>
      </c>
      <c r="Q151">
        <f t="shared" si="2"/>
        <v>3.5299999999999998E-2</v>
      </c>
    </row>
    <row r="152" spans="1:17">
      <c r="A152" t="s">
        <v>142</v>
      </c>
      <c r="B152" t="s">
        <v>700</v>
      </c>
      <c r="C152" t="str">
        <f>VLOOKUP(A152,Districts!A:I,9,FALSE)</f>
        <v>ARIZONA MONTESSORI CHARTER SCHOOL AT ANTHEM Caurus Academy, Inc.</v>
      </c>
      <c r="D152" t="str">
        <f>VLOOKUP(A152,Districts!A:P,16,FALSE)</f>
        <v>ZDTLTQCJ48G9</v>
      </c>
      <c r="E152" t="s">
        <v>528</v>
      </c>
      <c r="F152" s="1">
        <v>45200</v>
      </c>
      <c r="G152" t="s">
        <v>529</v>
      </c>
      <c r="H152" t="s">
        <v>530</v>
      </c>
      <c r="I152" s="59">
        <f>VLOOKUP(A152,'611'!D:F,3,FALSE)</f>
        <v>39485.35</v>
      </c>
      <c r="J152" s="59">
        <f>VLOOKUP(A152,'611'!D:Q,14,FALSE)</f>
        <v>39485.35</v>
      </c>
      <c r="K152" s="59">
        <f>VLOOKUP(A152,'611'!D:Q,14,FALSE)</f>
        <v>39485.35</v>
      </c>
      <c r="O152" t="s">
        <v>531</v>
      </c>
      <c r="P152" t="str">
        <f>_xlfn.IFNA(VLOOKUP(A152,IndirectCost!B:L,11,FALSE),"")</f>
        <v/>
      </c>
      <c r="Q152">
        <f t="shared" si="2"/>
        <v>0</v>
      </c>
    </row>
    <row r="153" spans="1:17">
      <c r="A153" t="s">
        <v>143</v>
      </c>
      <c r="B153" t="s">
        <v>701</v>
      </c>
      <c r="C153" t="str">
        <f>VLOOKUP(A153,Districts!A:I,9,FALSE)</f>
        <v>Cave Creek Unified School District 93</v>
      </c>
      <c r="D153" t="str">
        <f>VLOOKUP(A153,Districts!A:P,16,FALSE)</f>
        <v>WF8CG83Y5LH9</v>
      </c>
      <c r="E153" t="s">
        <v>528</v>
      </c>
      <c r="F153" s="1">
        <v>45200</v>
      </c>
      <c r="G153" t="s">
        <v>529</v>
      </c>
      <c r="H153" t="s">
        <v>530</v>
      </c>
      <c r="I153" s="59">
        <f>VLOOKUP(A153,'611'!D:F,3,FALSE)</f>
        <v>924103.35</v>
      </c>
      <c r="J153" s="59">
        <f>VLOOKUP(A153,'611'!D:Q,14,FALSE)</f>
        <v>1817393.26</v>
      </c>
      <c r="K153" s="59">
        <f>VLOOKUP(A153,'611'!D:Q,14,FALSE)</f>
        <v>1817393.26</v>
      </c>
      <c r="O153" t="s">
        <v>531</v>
      </c>
      <c r="P153">
        <f>_xlfn.IFNA(VLOOKUP(A153,IndirectCost!B:L,11,FALSE),"")</f>
        <v>5.44</v>
      </c>
      <c r="Q153">
        <f t="shared" si="2"/>
        <v>5.4400000000000004E-2</v>
      </c>
    </row>
    <row r="154" spans="1:17">
      <c r="A154" t="s">
        <v>144</v>
      </c>
      <c r="B154" t="s">
        <v>702</v>
      </c>
      <c r="C154" t="str">
        <f>VLOOKUP(A154,Districts!A:I,9,FALSE)</f>
        <v>Cedar Public School District 25</v>
      </c>
      <c r="D154" t="str">
        <f>VLOOKUP(A154,Districts!A:P,16,FALSE)</f>
        <v>DFT6GJYLMX11</v>
      </c>
      <c r="E154" t="s">
        <v>528</v>
      </c>
      <c r="F154" s="1">
        <v>45200</v>
      </c>
      <c r="G154" t="s">
        <v>529</v>
      </c>
      <c r="H154" t="s">
        <v>530</v>
      </c>
      <c r="I154" s="59">
        <f>VLOOKUP(A154,'611'!D:F,3,FALSE)</f>
        <v>45580.61</v>
      </c>
      <c r="J154" s="59">
        <f>VLOOKUP(A154,'611'!D:Q,14,FALSE)</f>
        <v>83824.56</v>
      </c>
      <c r="K154" s="59">
        <f>VLOOKUP(A154,'611'!D:Q,14,FALSE)</f>
        <v>83824.56</v>
      </c>
      <c r="O154" t="s">
        <v>531</v>
      </c>
      <c r="P154">
        <f>_xlfn.IFNA(VLOOKUP(A154,IndirectCost!B:L,11,FALSE),"")</f>
        <v>8</v>
      </c>
      <c r="Q154">
        <f t="shared" si="2"/>
        <v>0.08</v>
      </c>
    </row>
    <row r="155" spans="1:17">
      <c r="A155" t="s">
        <v>145</v>
      </c>
      <c r="B155" t="s">
        <v>703</v>
      </c>
      <c r="C155" t="str">
        <f>VLOOKUP(A155,Districts!A:I,9,FALSE)</f>
        <v>Center for Academic Success</v>
      </c>
      <c r="D155" t="str">
        <f>VLOOKUP(A155,Districts!A:P,16,FALSE)</f>
        <v>S5MUL3CXNG14</v>
      </c>
      <c r="E155" t="s">
        <v>528</v>
      </c>
      <c r="F155" s="1">
        <v>45200</v>
      </c>
      <c r="G155" t="s">
        <v>529</v>
      </c>
      <c r="H155" t="s">
        <v>530</v>
      </c>
      <c r="I155" s="59">
        <f>VLOOKUP(A155,'611'!D:F,3,FALSE)</f>
        <v>209296.1</v>
      </c>
      <c r="J155" s="59">
        <f>VLOOKUP(A155,'611'!D:Q,14,FALSE)</f>
        <v>209296.1</v>
      </c>
      <c r="K155" s="59">
        <f>VLOOKUP(A155,'611'!D:Q,14,FALSE)</f>
        <v>209296.1</v>
      </c>
      <c r="O155" t="s">
        <v>531</v>
      </c>
      <c r="P155" t="str">
        <f>_xlfn.IFNA(VLOOKUP(A155,IndirectCost!B:L,11,FALSE),"")</f>
        <v/>
      </c>
      <c r="Q155">
        <f t="shared" si="2"/>
        <v>0</v>
      </c>
    </row>
    <row r="156" spans="1:17">
      <c r="A156" t="s">
        <v>146</v>
      </c>
      <c r="B156" t="s">
        <v>704</v>
      </c>
      <c r="C156" t="str">
        <f>VLOOKUP(A156,Districts!A:I,9,FALSE)</f>
        <v>Challenge Charter School</v>
      </c>
      <c r="D156" t="str">
        <f>VLOOKUP(A156,Districts!A:P,16,FALSE)</f>
        <v>DBBCTDD4ACP7</v>
      </c>
      <c r="E156" t="s">
        <v>528</v>
      </c>
      <c r="F156" s="1">
        <v>45200</v>
      </c>
      <c r="G156" t="s">
        <v>529</v>
      </c>
      <c r="H156" t="s">
        <v>530</v>
      </c>
      <c r="I156" s="59">
        <f>VLOOKUP(A156,'611'!D:F,3,FALSE)</f>
        <v>67809.179999999993</v>
      </c>
      <c r="J156" s="59">
        <f>VLOOKUP(A156,'611'!D:Q,14,FALSE)</f>
        <v>67809.179999999993</v>
      </c>
      <c r="K156" s="59">
        <f>VLOOKUP(A156,'611'!D:Q,14,FALSE)</f>
        <v>67809.179999999993</v>
      </c>
      <c r="O156" t="s">
        <v>531</v>
      </c>
      <c r="P156" t="str">
        <f>_xlfn.IFNA(VLOOKUP(A156,IndirectCost!B:L,11,FALSE),"")</f>
        <v/>
      </c>
      <c r="Q156">
        <f t="shared" si="2"/>
        <v>0</v>
      </c>
    </row>
    <row r="157" spans="1:17">
      <c r="A157" t="s">
        <v>147</v>
      </c>
      <c r="B157" t="s">
        <v>705</v>
      </c>
      <c r="C157" t="str">
        <f>VLOOKUP(A157,Districts!A:I,9,FALSE)</f>
        <v>Challenger Basic School, Inc.</v>
      </c>
      <c r="D157" t="str">
        <f>VLOOKUP(A157,Districts!A:P,16,FALSE)</f>
        <v>VJ27MADNF6L3</v>
      </c>
      <c r="E157" t="s">
        <v>528</v>
      </c>
      <c r="F157" s="1">
        <v>45200</v>
      </c>
      <c r="G157" t="s">
        <v>529</v>
      </c>
      <c r="H157" t="s">
        <v>530</v>
      </c>
      <c r="I157" s="59">
        <f>VLOOKUP(A157,'611'!D:F,3,FALSE)</f>
        <v>40873.050000000003</v>
      </c>
      <c r="J157" s="59">
        <f>VLOOKUP(A157,'611'!D:Q,14,FALSE)</f>
        <v>52316.71</v>
      </c>
      <c r="K157" s="59">
        <f>VLOOKUP(A157,'611'!D:Q,14,FALSE)</f>
        <v>52316.71</v>
      </c>
      <c r="O157" t="s">
        <v>531</v>
      </c>
      <c r="P157" t="str">
        <f>_xlfn.IFNA(VLOOKUP(A157,IndirectCost!B:L,11,FALSE),"")</f>
        <v/>
      </c>
      <c r="Q157">
        <f t="shared" si="2"/>
        <v>0</v>
      </c>
    </row>
    <row r="158" spans="1:17">
      <c r="A158" t="s">
        <v>706</v>
      </c>
      <c r="B158" t="s">
        <v>707</v>
      </c>
      <c r="C158" t="str">
        <f>VLOOKUP(A158,Districts!A:I,9,FALSE)</f>
        <v>Chandler Preparatory Academy</v>
      </c>
      <c r="D158" t="str">
        <f>VLOOKUP(A158,Districts!A:P,16,FALSE)</f>
        <v>C85HLPW1ZKJ6</v>
      </c>
      <c r="E158" t="s">
        <v>528</v>
      </c>
      <c r="F158" s="1">
        <v>45200</v>
      </c>
      <c r="G158" t="s">
        <v>529</v>
      </c>
      <c r="H158" t="s">
        <v>530</v>
      </c>
      <c r="I158" s="59">
        <f>VLOOKUP(A158,'611'!D:F,3,FALSE)</f>
        <v>96284.21</v>
      </c>
      <c r="J158" s="59">
        <f>VLOOKUP(A158,'611'!D:Q,14,FALSE)</f>
        <v>97232.03</v>
      </c>
      <c r="K158" s="59">
        <f>VLOOKUP(A158,'611'!D:Q,14,FALSE)</f>
        <v>97232.03</v>
      </c>
      <c r="O158" t="s">
        <v>531</v>
      </c>
      <c r="P158">
        <f>_xlfn.IFNA(VLOOKUP(A158,IndirectCost!B:L,11,FALSE),"")</f>
        <v>8</v>
      </c>
      <c r="Q158">
        <f t="shared" si="2"/>
        <v>0.08</v>
      </c>
    </row>
    <row r="159" spans="1:17">
      <c r="A159" t="s">
        <v>148</v>
      </c>
      <c r="B159" t="s">
        <v>708</v>
      </c>
      <c r="C159" t="str">
        <f>VLOOKUP(A159,Districts!A:I,9,FALSE)</f>
        <v>Chandler Unified School District</v>
      </c>
      <c r="D159" t="str">
        <f>VLOOKUP(A159,Districts!A:P,16,FALSE)</f>
        <v>FGJANM3AL4B8</v>
      </c>
      <c r="E159" t="s">
        <v>528</v>
      </c>
      <c r="F159" s="1">
        <v>45200</v>
      </c>
      <c r="G159" t="s">
        <v>529</v>
      </c>
      <c r="H159" t="s">
        <v>530</v>
      </c>
      <c r="I159" s="59">
        <f>VLOOKUP(A159,'611'!D:F,3,FALSE)</f>
        <v>7510369.3300000001</v>
      </c>
      <c r="J159" s="59">
        <f>VLOOKUP(A159,'611'!D:Q,14,FALSE)</f>
        <v>7829503.6100000003</v>
      </c>
      <c r="K159" s="59">
        <f>VLOOKUP(A159,'611'!D:Q,14,FALSE)</f>
        <v>7829503.6100000003</v>
      </c>
      <c r="O159" t="s">
        <v>531</v>
      </c>
      <c r="P159">
        <f>_xlfn.IFNA(VLOOKUP(A159,IndirectCost!B:L,11,FALSE),"")</f>
        <v>1.7</v>
      </c>
      <c r="Q159">
        <f t="shared" si="2"/>
        <v>1.7000000000000001E-2</v>
      </c>
    </row>
    <row r="160" spans="1:17">
      <c r="A160" t="s">
        <v>149</v>
      </c>
      <c r="B160" t="s">
        <v>709</v>
      </c>
      <c r="C160" t="str">
        <f>VLOOKUP(A160,Districts!A:I,9,FALSE)</f>
        <v>Chinle Unified School District</v>
      </c>
      <c r="D160" t="str">
        <f>VLOOKUP(A160,Districts!A:P,16,FALSE)</f>
        <v>SYUFHH7DNAN7</v>
      </c>
      <c r="E160" t="s">
        <v>528</v>
      </c>
      <c r="F160" s="1">
        <v>45200</v>
      </c>
      <c r="G160" t="s">
        <v>529</v>
      </c>
      <c r="H160" t="s">
        <v>530</v>
      </c>
      <c r="I160" s="59">
        <f>VLOOKUP(A160,'611'!D:F,3,FALSE)</f>
        <v>749392.97</v>
      </c>
      <c r="J160" s="59">
        <f>VLOOKUP(A160,'611'!D:Q,14,FALSE)</f>
        <v>827390.31</v>
      </c>
      <c r="K160" s="59">
        <f>VLOOKUP(A160,'611'!D:Q,14,FALSE)</f>
        <v>827390.31</v>
      </c>
      <c r="O160" t="s">
        <v>531</v>
      </c>
      <c r="P160">
        <f>_xlfn.IFNA(VLOOKUP(A160,IndirectCost!B:L,11,FALSE),"")</f>
        <v>8</v>
      </c>
      <c r="Q160">
        <f t="shared" si="2"/>
        <v>0.08</v>
      </c>
    </row>
    <row r="161" spans="1:17">
      <c r="A161" t="s">
        <v>150</v>
      </c>
      <c r="B161" t="s">
        <v>710</v>
      </c>
      <c r="C161" t="str">
        <f>VLOOKUP(A161,Districts!A:I,9,FALSE)</f>
        <v>Chino Valley USD #51</v>
      </c>
      <c r="D161" t="str">
        <f>VLOOKUP(A161,Districts!A:P,16,FALSE)</f>
        <v>SDNNMNVH6DD5</v>
      </c>
      <c r="E161" t="s">
        <v>528</v>
      </c>
      <c r="F161" s="1">
        <v>45200</v>
      </c>
      <c r="G161" t="s">
        <v>529</v>
      </c>
      <c r="H161" t="s">
        <v>530</v>
      </c>
      <c r="I161" s="59">
        <f>VLOOKUP(A161,'611'!D:F,3,FALSE)</f>
        <v>587005.85</v>
      </c>
      <c r="J161" s="59">
        <f>VLOOKUP(A161,'611'!D:Q,14,FALSE)</f>
        <v>628318.67000000004</v>
      </c>
      <c r="K161" s="59">
        <f>VLOOKUP(A161,'611'!D:Q,14,FALSE)</f>
        <v>628318.67000000004</v>
      </c>
      <c r="O161" t="s">
        <v>531</v>
      </c>
      <c r="P161">
        <f>_xlfn.IFNA(VLOOKUP(A161,IndirectCost!B:L,11,FALSE),"")</f>
        <v>4.55</v>
      </c>
      <c r="Q161">
        <f t="shared" si="2"/>
        <v>4.5499999999999999E-2</v>
      </c>
    </row>
    <row r="162" spans="1:17">
      <c r="A162" t="s">
        <v>151</v>
      </c>
      <c r="B162" t="s">
        <v>711</v>
      </c>
      <c r="C162" t="str">
        <f>VLOOKUP(A162,Districts!A:I,9,FALSE)</f>
        <v>Choice Academy</v>
      </c>
      <c r="D162" t="str">
        <f>VLOOKUP(A162,Districts!A:P,16,FALSE)</f>
        <v>QFLKJ3VRF1B1</v>
      </c>
      <c r="E162" t="s">
        <v>528</v>
      </c>
      <c r="F162" s="1">
        <v>45200</v>
      </c>
      <c r="G162" t="s">
        <v>529</v>
      </c>
      <c r="H162" t="s">
        <v>530</v>
      </c>
      <c r="I162" s="59">
        <f>VLOOKUP(A162,'611'!D:F,3,FALSE)</f>
        <v>91179.49</v>
      </c>
      <c r="J162" s="59">
        <f>VLOOKUP(A162,'611'!D:Q,14,FALSE)</f>
        <v>91179.49</v>
      </c>
      <c r="K162" s="59">
        <f>VLOOKUP(A162,'611'!D:Q,14,FALSE)</f>
        <v>91179.49</v>
      </c>
      <c r="O162" t="s">
        <v>531</v>
      </c>
      <c r="P162" t="str">
        <f>_xlfn.IFNA(VLOOKUP(A162,IndirectCost!B:L,11,FALSE),"")</f>
        <v/>
      </c>
      <c r="Q162">
        <f t="shared" si="2"/>
        <v>0</v>
      </c>
    </row>
    <row r="163" spans="1:17">
      <c r="A163" t="s">
        <v>152</v>
      </c>
      <c r="B163" t="s">
        <v>712</v>
      </c>
      <c r="C163" t="str">
        <f>VLOOKUP(A163,Districts!A:I,9,FALSE)</f>
        <v>Cholla Academy</v>
      </c>
      <c r="D163" t="str">
        <f>VLOOKUP(A163,Districts!A:P,16,FALSE)</f>
        <v>KLXLEYZ83MG8</v>
      </c>
      <c r="E163" t="s">
        <v>528</v>
      </c>
      <c r="F163" s="1">
        <v>45200</v>
      </c>
      <c r="G163" t="s">
        <v>529</v>
      </c>
      <c r="H163" t="s">
        <v>530</v>
      </c>
      <c r="I163" s="59">
        <f>VLOOKUP(A163,'611'!D:F,3,FALSE)</f>
        <v>106094.39999999999</v>
      </c>
      <c r="J163" s="59">
        <f>VLOOKUP(A163,'611'!D:Q,14,FALSE)</f>
        <v>106094.39999999999</v>
      </c>
      <c r="K163" s="59">
        <f>VLOOKUP(A163,'611'!D:Q,14,FALSE)</f>
        <v>106094.39999999999</v>
      </c>
      <c r="O163" t="s">
        <v>531</v>
      </c>
      <c r="P163" t="str">
        <f>_xlfn.IFNA(VLOOKUP(A163,IndirectCost!B:L,11,FALSE),"")</f>
        <v/>
      </c>
      <c r="Q163">
        <f t="shared" si="2"/>
        <v>0</v>
      </c>
    </row>
    <row r="164" spans="1:17">
      <c r="A164" t="s">
        <v>713</v>
      </c>
      <c r="B164" t="s">
        <v>714</v>
      </c>
      <c r="C164" t="str">
        <f>VLOOKUP(A164,Districts!A:I,9,FALSE)</f>
        <v>Cicero Preparatory Academy</v>
      </c>
      <c r="D164" t="str">
        <f>VLOOKUP(A164,Districts!A:P,16,FALSE)</f>
        <v>NZ3JGDL62AJ9</v>
      </c>
      <c r="E164" t="s">
        <v>528</v>
      </c>
      <c r="F164" s="1">
        <v>45200</v>
      </c>
      <c r="G164" t="s">
        <v>529</v>
      </c>
      <c r="H164" t="s">
        <v>530</v>
      </c>
      <c r="I164" s="59">
        <f>VLOOKUP(A164,'611'!D:F,3,FALSE)</f>
        <v>69285.009999999995</v>
      </c>
      <c r="J164" s="59">
        <f>VLOOKUP(A164,'611'!D:Q,14,FALSE)</f>
        <v>69285.009999999995</v>
      </c>
      <c r="K164" s="59">
        <f>VLOOKUP(A164,'611'!D:Q,14,FALSE)</f>
        <v>69285.009999999995</v>
      </c>
      <c r="O164" t="s">
        <v>531</v>
      </c>
      <c r="P164">
        <f>_xlfn.IFNA(VLOOKUP(A164,IndirectCost!B:L,11,FALSE),"")</f>
        <v>8</v>
      </c>
      <c r="Q164">
        <f t="shared" si="2"/>
        <v>0.08</v>
      </c>
    </row>
    <row r="165" spans="1:17">
      <c r="A165" t="s">
        <v>715</v>
      </c>
      <c r="B165" t="s">
        <v>716</v>
      </c>
      <c r="C165" t="str">
        <f>VLOOKUP(A165,Districts!A:I,9,FALSE)</f>
        <v>CITY Center for Collaborative Learning</v>
      </c>
      <c r="D165" t="str">
        <f>VLOOKUP(A165,Districts!A:P,16,FALSE)</f>
        <v>GT4TRNM8DR69</v>
      </c>
      <c r="E165" t="s">
        <v>528</v>
      </c>
      <c r="F165" s="1">
        <v>45200</v>
      </c>
      <c r="G165" t="s">
        <v>529</v>
      </c>
      <c r="H165" t="s">
        <v>530</v>
      </c>
      <c r="I165" s="59">
        <f>VLOOKUP(A165,'611'!D:F,3,FALSE)</f>
        <v>48269.74</v>
      </c>
      <c r="J165" s="59">
        <f>VLOOKUP(A165,'611'!D:Q,14,FALSE)</f>
        <v>48269.74</v>
      </c>
      <c r="K165" s="59">
        <f>VLOOKUP(A165,'611'!D:Q,14,FALSE)</f>
        <v>48269.74</v>
      </c>
      <c r="O165" t="s">
        <v>531</v>
      </c>
      <c r="P165">
        <f>_xlfn.IFNA(VLOOKUP(A165,IndirectCost!B:L,11,FALSE),"")</f>
        <v>8</v>
      </c>
      <c r="Q165">
        <f t="shared" si="2"/>
        <v>0.08</v>
      </c>
    </row>
    <row r="166" spans="1:17">
      <c r="A166" t="s">
        <v>153</v>
      </c>
      <c r="B166" t="s">
        <v>717</v>
      </c>
      <c r="C166" t="str">
        <f>VLOOKUP(A166,Districts!A:I,9,FALSE)</f>
        <v>Clarkdale-Jerome School District</v>
      </c>
      <c r="D166" t="str">
        <f>VLOOKUP(A166,Districts!A:P,16,FALSE)</f>
        <v>PFNSTM1KP9X9</v>
      </c>
      <c r="E166" t="s">
        <v>528</v>
      </c>
      <c r="F166" s="1">
        <v>45200</v>
      </c>
      <c r="G166" t="s">
        <v>529</v>
      </c>
      <c r="H166" t="s">
        <v>530</v>
      </c>
      <c r="I166" s="59">
        <f>VLOOKUP(A166,'611'!D:F,3,FALSE)</f>
        <v>89599.47</v>
      </c>
      <c r="J166" s="59">
        <f>VLOOKUP(A166,'611'!D:Q,14,FALSE)</f>
        <v>92114.19</v>
      </c>
      <c r="K166" s="59">
        <f>VLOOKUP(A166,'611'!D:Q,14,FALSE)</f>
        <v>92114.19</v>
      </c>
      <c r="O166" t="s">
        <v>531</v>
      </c>
      <c r="P166">
        <f>_xlfn.IFNA(VLOOKUP(A166,IndirectCost!B:L,11,FALSE),"")</f>
        <v>4.99</v>
      </c>
      <c r="Q166">
        <f t="shared" si="2"/>
        <v>4.99E-2</v>
      </c>
    </row>
    <row r="167" spans="1:17">
      <c r="A167" t="s">
        <v>154</v>
      </c>
      <c r="B167" t="s">
        <v>718</v>
      </c>
      <c r="C167" t="str">
        <f>VLOOKUP(A167,Districts!A:I,9,FALSE)</f>
        <v>Cochise Community</v>
      </c>
      <c r="D167" t="str">
        <f>VLOOKUP(A167,Districts!A:P,16,FALSE)</f>
        <v>CZERZG2EALZ3</v>
      </c>
      <c r="E167" t="s">
        <v>528</v>
      </c>
      <c r="F167" s="1">
        <v>45200</v>
      </c>
      <c r="G167" t="s">
        <v>529</v>
      </c>
      <c r="H167" t="s">
        <v>530</v>
      </c>
      <c r="I167" s="59">
        <f>VLOOKUP(A167,'611'!D:F,3,FALSE)</f>
        <v>62041.64</v>
      </c>
      <c r="J167" s="59">
        <f>VLOOKUP(A167,'611'!D:Q,14,FALSE)</f>
        <v>62041.64</v>
      </c>
      <c r="K167" s="59">
        <f>VLOOKUP(A167,'611'!D:Q,14,FALSE)</f>
        <v>62041.64</v>
      </c>
      <c r="O167" t="s">
        <v>531</v>
      </c>
      <c r="P167" t="str">
        <f>_xlfn.IFNA(VLOOKUP(A167,IndirectCost!B:L,11,FALSE),"")</f>
        <v/>
      </c>
      <c r="Q167">
        <f t="shared" si="2"/>
        <v>0</v>
      </c>
    </row>
    <row r="168" spans="1:17">
      <c r="A168" t="s">
        <v>719</v>
      </c>
      <c r="B168" t="s">
        <v>720</v>
      </c>
      <c r="C168" t="str">
        <f>VLOOKUP(A168,Districts!A:I,9,FALSE)</f>
        <v>Cochise County Accommodation District</v>
      </c>
      <c r="D168" t="str">
        <f>VLOOKUP(A168,Districts!A:P,16,FALSE)</f>
        <v>TGHYU63NZDA1</v>
      </c>
      <c r="E168" t="s">
        <v>528</v>
      </c>
      <c r="F168" s="1">
        <v>45200</v>
      </c>
      <c r="G168" t="s">
        <v>529</v>
      </c>
      <c r="H168" t="s">
        <v>530</v>
      </c>
      <c r="I168" s="59">
        <f>VLOOKUP(A168,'611'!D:F,3,FALSE)</f>
        <v>59351.23</v>
      </c>
      <c r="J168" s="59">
        <f>VLOOKUP(A168,'611'!D:Q,14,FALSE)</f>
        <v>91235.39</v>
      </c>
      <c r="K168" s="59">
        <f>VLOOKUP(A168,'611'!D:Q,14,FALSE)</f>
        <v>91235.39</v>
      </c>
      <c r="O168" t="s">
        <v>531</v>
      </c>
      <c r="P168" t="str">
        <f>_xlfn.IFNA(VLOOKUP(A168,IndirectCost!B:L,11,FALSE),"")</f>
        <v/>
      </c>
      <c r="Q168">
        <f t="shared" si="2"/>
        <v>0</v>
      </c>
    </row>
    <row r="169" spans="1:17">
      <c r="A169" t="s">
        <v>721</v>
      </c>
      <c r="B169" t="s">
        <v>722</v>
      </c>
      <c r="C169" t="str">
        <f>VLOOKUP(A169,Districts!A:I,9,FALSE)</f>
        <v>County of Cochise</v>
      </c>
      <c r="D169" t="str">
        <f>VLOOKUP(A169,Districts!A:P,16,FALSE)</f>
        <v>LNCRRL2K1DA9</v>
      </c>
      <c r="E169" t="s">
        <v>528</v>
      </c>
      <c r="F169" s="1">
        <v>45200</v>
      </c>
      <c r="G169" t="s">
        <v>529</v>
      </c>
      <c r="H169" t="s">
        <v>530</v>
      </c>
      <c r="I169" s="59">
        <f>VLOOKUP(A169,'611'!D:F,3,FALSE)</f>
        <v>439.78</v>
      </c>
      <c r="J169" s="59">
        <f>VLOOKUP(A169,'611'!D:Q,14,FALSE)</f>
        <v>939.1</v>
      </c>
      <c r="K169" s="59">
        <f>VLOOKUP(A169,'611'!D:Q,14,FALSE)</f>
        <v>939.1</v>
      </c>
      <c r="O169" t="s">
        <v>531</v>
      </c>
      <c r="P169" t="str">
        <f>_xlfn.IFNA(VLOOKUP(A169,IndirectCost!B:L,11,FALSE),"")</f>
        <v/>
      </c>
      <c r="Q169">
        <f t="shared" si="2"/>
        <v>0</v>
      </c>
    </row>
    <row r="170" spans="1:17">
      <c r="A170" t="s">
        <v>155</v>
      </c>
      <c r="B170" t="s">
        <v>723</v>
      </c>
      <c r="C170" t="str">
        <f>VLOOKUP(A170,Districts!A:I,9,FALSE)</f>
        <v>COCHISE SCHOOL DISTRICT 26</v>
      </c>
      <c r="D170" t="str">
        <f>VLOOKUP(A170,Districts!A:P,16,FALSE)</f>
        <v>UZVJRTM6DMB8</v>
      </c>
      <c r="E170" t="s">
        <v>528</v>
      </c>
      <c r="F170" s="1">
        <v>45200</v>
      </c>
      <c r="G170" t="s">
        <v>529</v>
      </c>
      <c r="H170" t="s">
        <v>530</v>
      </c>
      <c r="I170" s="59">
        <f>VLOOKUP(A170,'611'!D:F,3,FALSE)</f>
        <v>17984.54</v>
      </c>
      <c r="J170" s="59">
        <f>VLOOKUP(A170,'611'!D:Q,14,FALSE)</f>
        <v>17984.54</v>
      </c>
      <c r="K170" s="59">
        <f>VLOOKUP(A170,'611'!D:Q,14,FALSE)</f>
        <v>17984.54</v>
      </c>
      <c r="O170" t="s">
        <v>531</v>
      </c>
      <c r="P170" t="str">
        <f>_xlfn.IFNA(VLOOKUP(A170,IndirectCost!B:L,11,FALSE),"")</f>
        <v/>
      </c>
      <c r="Q170">
        <f t="shared" si="2"/>
        <v>0</v>
      </c>
    </row>
    <row r="171" spans="1:17">
      <c r="A171" t="s">
        <v>724</v>
      </c>
      <c r="B171" t="s">
        <v>725</v>
      </c>
      <c r="C171" t="str">
        <f>VLOOKUP(A171,Districts!A:I,9,FALSE)</f>
        <v>Coconino County Accommodation School District</v>
      </c>
      <c r="D171" t="str">
        <f>VLOOKUP(A171,Districts!A:P,16,FALSE)</f>
        <v>F7NRZLN1L6A3</v>
      </c>
      <c r="E171" t="s">
        <v>528</v>
      </c>
      <c r="F171" s="1">
        <v>45200</v>
      </c>
      <c r="G171" t="s">
        <v>529</v>
      </c>
      <c r="H171" t="s">
        <v>530</v>
      </c>
      <c r="I171" s="59">
        <f>VLOOKUP(A171,'611'!D:F,3,FALSE)</f>
        <v>18907.09</v>
      </c>
      <c r="J171" s="59">
        <f>VLOOKUP(A171,'611'!D:Q,14,FALSE)</f>
        <v>22244.68</v>
      </c>
      <c r="K171" s="59">
        <f>VLOOKUP(A171,'611'!D:Q,14,FALSE)</f>
        <v>22244.68</v>
      </c>
      <c r="O171" t="s">
        <v>531</v>
      </c>
      <c r="P171">
        <f>_xlfn.IFNA(VLOOKUP(A171,IndirectCost!B:L,11,FALSE),"")</f>
        <v>0</v>
      </c>
      <c r="Q171">
        <f t="shared" si="2"/>
        <v>0</v>
      </c>
    </row>
    <row r="172" spans="1:17">
      <c r="A172" t="s">
        <v>156</v>
      </c>
      <c r="B172" t="s">
        <v>726</v>
      </c>
      <c r="C172" t="str">
        <f>VLOOKUP(A172,Districts!A:I,9,FALSE)</f>
        <v>Colearn Academy Arizona</v>
      </c>
      <c r="D172" t="str">
        <f>VLOOKUP(A172,Districts!A:P,16,FALSE)</f>
        <v>ZR8EN6GDFAE8</v>
      </c>
      <c r="E172" t="s">
        <v>528</v>
      </c>
      <c r="F172" s="1">
        <v>45200</v>
      </c>
      <c r="G172" t="s">
        <v>529</v>
      </c>
      <c r="H172" t="s">
        <v>530</v>
      </c>
      <c r="I172" s="59">
        <f>VLOOKUP(A172,'611'!D:F,3,FALSE)</f>
        <v>31903.18</v>
      </c>
      <c r="J172" s="59">
        <f>VLOOKUP(A172,'611'!D:Q,14,FALSE)</f>
        <v>31903.18</v>
      </c>
      <c r="K172" s="59">
        <f>VLOOKUP(A172,'611'!D:Q,14,FALSE)</f>
        <v>31903.18</v>
      </c>
      <c r="O172" t="s">
        <v>531</v>
      </c>
      <c r="P172" t="str">
        <f>_xlfn.IFNA(VLOOKUP(A172,IndirectCost!B:L,11,FALSE),"")</f>
        <v/>
      </c>
      <c r="Q172">
        <f t="shared" si="2"/>
        <v>0</v>
      </c>
    </row>
    <row r="173" spans="1:17">
      <c r="A173" t="s">
        <v>157</v>
      </c>
      <c r="B173" t="s">
        <v>727</v>
      </c>
      <c r="C173" t="str">
        <f>VLOOKUP(A173,Districts!A:I,9,FALSE)</f>
        <v>COLORADO CITY UNIFIED SCHOOL DISTRICT NO. 14</v>
      </c>
      <c r="D173" t="str">
        <f>VLOOKUP(A173,Districts!A:P,16,FALSE)</f>
        <v>GK87ERDYH3C3</v>
      </c>
      <c r="E173" t="s">
        <v>528</v>
      </c>
      <c r="F173" s="1">
        <v>45200</v>
      </c>
      <c r="G173" t="s">
        <v>529</v>
      </c>
      <c r="H173" t="s">
        <v>530</v>
      </c>
      <c r="I173" s="59">
        <f>VLOOKUP(A173,'611'!D:F,3,FALSE)</f>
        <v>199025.12</v>
      </c>
      <c r="J173" s="59">
        <f>VLOOKUP(A173,'611'!D:Q,14,FALSE)</f>
        <v>203501.01</v>
      </c>
      <c r="K173" s="59">
        <f>VLOOKUP(A173,'611'!D:Q,14,FALSE)</f>
        <v>203501.01</v>
      </c>
      <c r="O173" t="s">
        <v>531</v>
      </c>
      <c r="P173">
        <f>_xlfn.IFNA(VLOOKUP(A173,IndirectCost!B:L,11,FALSE),"")</f>
        <v>8</v>
      </c>
      <c r="Q173">
        <f t="shared" si="2"/>
        <v>0.08</v>
      </c>
    </row>
    <row r="174" spans="1:17">
      <c r="A174" t="s">
        <v>728</v>
      </c>
      <c r="B174" t="s">
        <v>729</v>
      </c>
      <c r="C174" t="str">
        <f>VLOOKUP(A174,Districts!A:I,9,FALSE)</f>
        <v>COLORADO RIVER UNION HIGH SCHOOL DISTRICT #2</v>
      </c>
      <c r="D174" t="str">
        <f>VLOOKUP(A174,Districts!A:P,16,FALSE)</f>
        <v>FH55DMKL1FT3</v>
      </c>
      <c r="E174" t="s">
        <v>528</v>
      </c>
      <c r="F174" s="1">
        <v>45200</v>
      </c>
      <c r="G174" t="s">
        <v>529</v>
      </c>
      <c r="H174" t="s">
        <v>530</v>
      </c>
      <c r="I174" s="59">
        <f>VLOOKUP(A174,'611'!D:F,3,FALSE)</f>
        <v>393220.73</v>
      </c>
      <c r="J174" s="59">
        <f>VLOOKUP(A174,'611'!D:Q,14,FALSE)</f>
        <v>497818.97</v>
      </c>
      <c r="K174" s="59">
        <f>VLOOKUP(A174,'611'!D:Q,14,FALSE)</f>
        <v>497818.97</v>
      </c>
      <c r="O174" t="s">
        <v>531</v>
      </c>
      <c r="P174">
        <f>_xlfn.IFNA(VLOOKUP(A174,IndirectCost!B:L,11,FALSE),"")</f>
        <v>8</v>
      </c>
      <c r="Q174">
        <f t="shared" si="2"/>
        <v>0.08</v>
      </c>
    </row>
    <row r="175" spans="1:17">
      <c r="A175" t="s">
        <v>730</v>
      </c>
      <c r="B175" t="s">
        <v>731</v>
      </c>
      <c r="C175" t="str">
        <f>VLOOKUP(A175,Districts!A:I,9,FALSE)</f>
        <v>Compass High School, Inc.</v>
      </c>
      <c r="D175" t="str">
        <f>VLOOKUP(A175,Districts!A:P,16,FALSE)</f>
        <v>GNKNRWLUCZE3</v>
      </c>
      <c r="E175" t="s">
        <v>528</v>
      </c>
      <c r="F175" s="1">
        <v>45200</v>
      </c>
      <c r="G175" t="s">
        <v>529</v>
      </c>
      <c r="H175" t="s">
        <v>530</v>
      </c>
      <c r="I175" s="59">
        <f>VLOOKUP(A175,'611'!D:F,3,FALSE)</f>
        <v>85874.65</v>
      </c>
      <c r="J175" s="59">
        <f>VLOOKUP(A175,'611'!D:Q,14,FALSE)</f>
        <v>86701.14</v>
      </c>
      <c r="K175" s="59">
        <f>VLOOKUP(A175,'611'!D:Q,14,FALSE)</f>
        <v>86701.14</v>
      </c>
      <c r="O175" t="s">
        <v>531</v>
      </c>
      <c r="P175" t="str">
        <f>_xlfn.IFNA(VLOOKUP(A175,IndirectCost!B:L,11,FALSE),"")</f>
        <v/>
      </c>
      <c r="Q175">
        <f t="shared" si="2"/>
        <v>0</v>
      </c>
    </row>
    <row r="176" spans="1:17">
      <c r="A176" t="s">
        <v>732</v>
      </c>
      <c r="B176" t="s">
        <v>733</v>
      </c>
      <c r="C176" t="str">
        <f>VLOOKUP(A176,Districts!A:I,9,FALSE)</f>
        <v>Compass Points International, Inc</v>
      </c>
      <c r="D176" t="str">
        <f>VLOOKUP(A176,Districts!A:P,16,FALSE)</f>
        <v>XXFVRFKL64J6</v>
      </c>
      <c r="E176" t="s">
        <v>528</v>
      </c>
      <c r="F176" s="1">
        <v>45200</v>
      </c>
      <c r="G176" t="s">
        <v>529</v>
      </c>
      <c r="H176" t="s">
        <v>530</v>
      </c>
      <c r="I176" s="59">
        <f>VLOOKUP(A176,'611'!D:F,3,FALSE)</f>
        <v>26396.6</v>
      </c>
      <c r="J176" s="59">
        <f>VLOOKUP(A176,'611'!D:Q,14,FALSE)</f>
        <v>29643.55</v>
      </c>
      <c r="K176" s="59">
        <f>VLOOKUP(A176,'611'!D:Q,14,FALSE)</f>
        <v>29643.55</v>
      </c>
      <c r="O176" t="s">
        <v>531</v>
      </c>
      <c r="P176" t="str">
        <f>_xlfn.IFNA(VLOOKUP(A176,IndirectCost!B:L,11,FALSE),"")</f>
        <v/>
      </c>
      <c r="Q176">
        <f t="shared" si="2"/>
        <v>0</v>
      </c>
    </row>
    <row r="177" spans="1:17">
      <c r="A177" t="s">
        <v>158</v>
      </c>
      <c r="B177" t="s">
        <v>734</v>
      </c>
      <c r="C177" t="str">
        <f>VLOOKUP(A177,Districts!A:I,9,FALSE)</f>
        <v>Concho Elementary School District 6</v>
      </c>
      <c r="D177" t="str">
        <f>VLOOKUP(A177,Districts!A:P,16,FALSE)</f>
        <v>NTK4CGYW9F55</v>
      </c>
      <c r="E177" t="s">
        <v>528</v>
      </c>
      <c r="F177" s="1">
        <v>45200</v>
      </c>
      <c r="G177" t="s">
        <v>529</v>
      </c>
      <c r="H177" t="s">
        <v>530</v>
      </c>
      <c r="I177" s="59">
        <f>VLOOKUP(A177,'611'!D:F,3,FALSE)</f>
        <v>54095.4</v>
      </c>
      <c r="J177" s="59">
        <f>VLOOKUP(A177,'611'!D:Q,14,FALSE)</f>
        <v>54095.4</v>
      </c>
      <c r="K177" s="59">
        <f>VLOOKUP(A177,'611'!D:Q,14,FALSE)</f>
        <v>54095.4</v>
      </c>
      <c r="O177" t="s">
        <v>531</v>
      </c>
      <c r="P177">
        <f>_xlfn.IFNA(VLOOKUP(A177,IndirectCost!B:L,11,FALSE),"")</f>
        <v>3.07</v>
      </c>
      <c r="Q177">
        <f t="shared" si="2"/>
        <v>3.0699999999999998E-2</v>
      </c>
    </row>
    <row r="178" spans="1:17">
      <c r="A178" t="s">
        <v>159</v>
      </c>
      <c r="B178" t="s">
        <v>735</v>
      </c>
      <c r="C178" t="str">
        <f>VLOOKUP(A178,Districts!A:I,9,FALSE)</f>
        <v>Concordia Charter School</v>
      </c>
      <c r="D178" t="str">
        <f>VLOOKUP(A178,Districts!A:P,16,FALSE)</f>
        <v>MG6JEZK4JC11</v>
      </c>
      <c r="E178" t="s">
        <v>528</v>
      </c>
      <c r="F178" s="1">
        <v>45200</v>
      </c>
      <c r="G178" t="s">
        <v>529</v>
      </c>
      <c r="H178" t="s">
        <v>530</v>
      </c>
      <c r="I178" s="59">
        <f>VLOOKUP(A178,'611'!D:F,3,FALSE)</f>
        <v>17279.009999999998</v>
      </c>
      <c r="J178" s="59">
        <f>VLOOKUP(A178,'611'!D:Q,14,FALSE)</f>
        <v>17279.009999999998</v>
      </c>
      <c r="K178" s="59">
        <f>VLOOKUP(A178,'611'!D:Q,14,FALSE)</f>
        <v>17279.009999999998</v>
      </c>
      <c r="O178" t="s">
        <v>531</v>
      </c>
      <c r="P178">
        <f>_xlfn.IFNA(VLOOKUP(A178,IndirectCost!B:L,11,FALSE),"")</f>
        <v>0</v>
      </c>
      <c r="Q178">
        <f t="shared" si="2"/>
        <v>0</v>
      </c>
    </row>
    <row r="179" spans="1:17">
      <c r="A179" t="s">
        <v>160</v>
      </c>
      <c r="B179" t="s">
        <v>736</v>
      </c>
      <c r="C179" t="str">
        <f>VLOOKUP(A179,Districts!A:I,9,FALSE)</f>
        <v>Congress Elementary School District</v>
      </c>
      <c r="D179" t="str">
        <f>VLOOKUP(A179,Districts!A:P,16,FALSE)</f>
        <v>XJXUF89GW4B9</v>
      </c>
      <c r="E179" t="s">
        <v>528</v>
      </c>
      <c r="F179" s="1">
        <v>45200</v>
      </c>
      <c r="G179" t="s">
        <v>529</v>
      </c>
      <c r="H179" t="s">
        <v>530</v>
      </c>
      <c r="I179" s="59">
        <f>VLOOKUP(A179,'611'!D:F,3,FALSE)</f>
        <v>36916.57</v>
      </c>
      <c r="J179" s="59">
        <f>VLOOKUP(A179,'611'!D:Q,14,FALSE)</f>
        <v>36916.57</v>
      </c>
      <c r="K179" s="59">
        <f>VLOOKUP(A179,'611'!D:Q,14,FALSE)</f>
        <v>36916.57</v>
      </c>
      <c r="O179" t="s">
        <v>531</v>
      </c>
      <c r="P179" t="str">
        <f>_xlfn.IFNA(VLOOKUP(A179,IndirectCost!B:L,11,FALSE),"")</f>
        <v/>
      </c>
      <c r="Q179">
        <f t="shared" si="2"/>
        <v>0</v>
      </c>
    </row>
    <row r="180" spans="1:17">
      <c r="A180" t="s">
        <v>161</v>
      </c>
      <c r="B180" t="s">
        <v>737</v>
      </c>
      <c r="C180" t="str">
        <f>VLOOKUP(A180,Districts!A:I,9,FALSE)</f>
        <v>Continental School District 39</v>
      </c>
      <c r="D180" t="str">
        <f>VLOOKUP(A180,Districts!A:P,16,FALSE)</f>
        <v>ZEQMVQXSCU85</v>
      </c>
      <c r="E180" t="s">
        <v>528</v>
      </c>
      <c r="F180" s="1">
        <v>45200</v>
      </c>
      <c r="G180" t="s">
        <v>529</v>
      </c>
      <c r="H180" t="s">
        <v>530</v>
      </c>
      <c r="I180" s="59">
        <f>VLOOKUP(A180,'611'!D:F,3,FALSE)</f>
        <v>160477.69</v>
      </c>
      <c r="J180" s="59">
        <f>VLOOKUP(A180,'611'!D:Q,14,FALSE)</f>
        <v>183218.24</v>
      </c>
      <c r="K180" s="59">
        <f>VLOOKUP(A180,'611'!D:Q,14,FALSE)</f>
        <v>183218.24</v>
      </c>
      <c r="O180" t="s">
        <v>531</v>
      </c>
      <c r="P180" t="str">
        <f>_xlfn.IFNA(VLOOKUP(A180,IndirectCost!B:L,11,FALSE),"")</f>
        <v/>
      </c>
      <c r="Q180">
        <f t="shared" si="2"/>
        <v>0</v>
      </c>
    </row>
    <row r="181" spans="1:17">
      <c r="A181" t="s">
        <v>162</v>
      </c>
      <c r="B181" t="s">
        <v>738</v>
      </c>
      <c r="C181" t="str">
        <f>VLOOKUP(A181,Districts!A:I,9,FALSE)</f>
        <v>Coolidge School District</v>
      </c>
      <c r="D181" t="str">
        <f>VLOOKUP(A181,Districts!A:P,16,FALSE)</f>
        <v>UL8LYVJBBLH9</v>
      </c>
      <c r="E181" t="s">
        <v>528</v>
      </c>
      <c r="F181" s="1">
        <v>45200</v>
      </c>
      <c r="G181" t="s">
        <v>529</v>
      </c>
      <c r="H181" t="s">
        <v>530</v>
      </c>
      <c r="I181" s="59">
        <f>VLOOKUP(A181,'611'!D:F,3,FALSE)</f>
        <v>598898.65</v>
      </c>
      <c r="J181" s="59">
        <f>VLOOKUP(A181,'611'!D:Q,14,FALSE)</f>
        <v>680442.33</v>
      </c>
      <c r="K181" s="59">
        <f>VLOOKUP(A181,'611'!D:Q,14,FALSE)</f>
        <v>680442.33</v>
      </c>
      <c r="O181" t="s">
        <v>531</v>
      </c>
      <c r="P181">
        <f>_xlfn.IFNA(VLOOKUP(A181,IndirectCost!B:L,11,FALSE),"")</f>
        <v>4.84</v>
      </c>
      <c r="Q181">
        <f t="shared" si="2"/>
        <v>4.8399999999999999E-2</v>
      </c>
    </row>
    <row r="182" spans="1:17">
      <c r="A182" t="s">
        <v>739</v>
      </c>
      <c r="B182" t="s">
        <v>740</v>
      </c>
      <c r="C182" t="str">
        <f>VLOOKUP(A182,Districts!A:I,9,FALSE)</f>
        <v>Copper State Academy</v>
      </c>
      <c r="D182" t="str">
        <f>VLOOKUP(A182,Districts!A:P,16,FALSE)</f>
        <v>RJ2XRB5WRYJ7</v>
      </c>
      <c r="E182" t="s">
        <v>528</v>
      </c>
      <c r="F182" s="1">
        <v>45200</v>
      </c>
      <c r="G182" t="s">
        <v>529</v>
      </c>
      <c r="H182" t="s">
        <v>530</v>
      </c>
      <c r="I182" s="59">
        <f>VLOOKUP(A182,'611'!D:F,3,FALSE)</f>
        <v>0</v>
      </c>
      <c r="J182" s="59">
        <f>VLOOKUP(A182,'611'!D:Q,14,FALSE)</f>
        <v>0</v>
      </c>
      <c r="K182" s="59">
        <f>VLOOKUP(A182,'611'!D:Q,14,FALSE)</f>
        <v>0</v>
      </c>
      <c r="O182" t="s">
        <v>531</v>
      </c>
      <c r="P182" t="str">
        <f>_xlfn.IFNA(VLOOKUP(A182,IndirectCost!B:L,11,FALSE),"")</f>
        <v/>
      </c>
      <c r="Q182">
        <f t="shared" si="2"/>
        <v>0</v>
      </c>
    </row>
    <row r="183" spans="1:17">
      <c r="A183" t="s">
        <v>741</v>
      </c>
      <c r="B183" t="s">
        <v>742</v>
      </c>
      <c r="C183" t="str">
        <f>VLOOKUP(A183,Districts!A:I,9,FALSE)</f>
        <v>Cornerstone Charter School, Inc.</v>
      </c>
      <c r="D183" t="str">
        <f>VLOOKUP(A183,Districts!A:P,16,FALSE)</f>
        <v>MKMXJZEQLMH6</v>
      </c>
      <c r="E183" t="s">
        <v>528</v>
      </c>
      <c r="F183" s="1">
        <v>45200</v>
      </c>
      <c r="G183" t="s">
        <v>529</v>
      </c>
      <c r="H183" t="s">
        <v>530</v>
      </c>
      <c r="I183" s="59">
        <f>VLOOKUP(A183,'611'!D:F,3,FALSE)</f>
        <v>27885.23</v>
      </c>
      <c r="J183" s="59">
        <f>VLOOKUP(A183,'611'!D:Q,14,FALSE)</f>
        <v>27885.23</v>
      </c>
      <c r="K183" s="59">
        <f>VLOOKUP(A183,'611'!D:Q,14,FALSE)</f>
        <v>27885.23</v>
      </c>
      <c r="O183" t="s">
        <v>531</v>
      </c>
      <c r="P183" t="str">
        <f>_xlfn.IFNA(VLOOKUP(A183,IndirectCost!B:L,11,FALSE),"")</f>
        <v/>
      </c>
      <c r="Q183">
        <f t="shared" si="2"/>
        <v>0</v>
      </c>
    </row>
    <row r="184" spans="1:17">
      <c r="A184" t="s">
        <v>743</v>
      </c>
      <c r="B184" t="s">
        <v>744</v>
      </c>
      <c r="C184" t="str">
        <f>VLOOKUP(A184,Districts!A:I,9,FALSE)</f>
        <v>CORTEZ PARK CHARTER SCHOOL</v>
      </c>
      <c r="D184" t="str">
        <f>VLOOKUP(A184,Districts!A:P,16,FALSE)</f>
        <v>EJJNL9369DF3</v>
      </c>
      <c r="E184" t="s">
        <v>528</v>
      </c>
      <c r="F184" s="1">
        <v>45200</v>
      </c>
      <c r="G184" t="s">
        <v>529</v>
      </c>
      <c r="H184" t="s">
        <v>530</v>
      </c>
      <c r="I184" s="59">
        <f>VLOOKUP(A184,'611'!D:F,3,FALSE)</f>
        <v>50303.79</v>
      </c>
      <c r="J184" s="59">
        <f>VLOOKUP(A184,'611'!D:Q,14,FALSE)</f>
        <v>50303.79</v>
      </c>
      <c r="K184" s="59">
        <f>VLOOKUP(A184,'611'!D:Q,14,FALSE)</f>
        <v>50303.79</v>
      </c>
      <c r="O184" t="s">
        <v>531</v>
      </c>
      <c r="P184" t="str">
        <f>_xlfn.IFNA(VLOOKUP(A184,IndirectCost!B:L,11,FALSE),"")</f>
        <v/>
      </c>
      <c r="Q184">
        <f t="shared" si="2"/>
        <v>0</v>
      </c>
    </row>
    <row r="185" spans="1:17">
      <c r="A185" t="s">
        <v>163</v>
      </c>
      <c r="B185" t="s">
        <v>745</v>
      </c>
      <c r="C185" t="str">
        <f>VLOOKUP(A185,Districts!A:I,9,FALSE)</f>
        <v>COTTONWOOD OAK CREEK SCHOOL DISTRICT</v>
      </c>
      <c r="D185" t="str">
        <f>VLOOKUP(A185,Districts!A:P,16,FALSE)</f>
        <v>HZ24A4J4XWJ7</v>
      </c>
      <c r="E185" t="s">
        <v>528</v>
      </c>
      <c r="F185" s="1">
        <v>45200</v>
      </c>
      <c r="G185" t="s">
        <v>529</v>
      </c>
      <c r="H185" t="s">
        <v>530</v>
      </c>
      <c r="I185" s="59">
        <f>VLOOKUP(A185,'611'!D:F,3,FALSE)</f>
        <v>421192.47</v>
      </c>
      <c r="J185" s="59">
        <f>VLOOKUP(A185,'611'!D:Q,14,FALSE)</f>
        <v>421192.47</v>
      </c>
      <c r="K185" s="59">
        <f>VLOOKUP(A185,'611'!D:Q,14,FALSE)</f>
        <v>421192.47</v>
      </c>
      <c r="O185" t="s">
        <v>531</v>
      </c>
      <c r="P185">
        <f>_xlfn.IFNA(VLOOKUP(A185,IndirectCost!B:L,11,FALSE),"")</f>
        <v>8</v>
      </c>
      <c r="Q185">
        <f t="shared" si="2"/>
        <v>0.08</v>
      </c>
    </row>
    <row r="186" spans="1:17">
      <c r="A186" t="s">
        <v>164</v>
      </c>
      <c r="B186" t="s">
        <v>746</v>
      </c>
      <c r="C186" t="str">
        <f>VLOOKUP(A186,Districts!A:I,9,FALSE)</f>
        <v>Country Gardens Charter Schools</v>
      </c>
      <c r="D186" t="str">
        <f>VLOOKUP(A186,Districts!A:P,16,FALSE)</f>
        <v>UKY2MKFJ1796</v>
      </c>
      <c r="E186" t="s">
        <v>528</v>
      </c>
      <c r="F186" s="1">
        <v>45200</v>
      </c>
      <c r="G186" t="s">
        <v>529</v>
      </c>
      <c r="H186" t="s">
        <v>530</v>
      </c>
      <c r="I186" s="59">
        <f>VLOOKUP(A186,'611'!D:F,3,FALSE)</f>
        <v>51490.559999999998</v>
      </c>
      <c r="J186" s="59">
        <f>VLOOKUP(A186,'611'!D:Q,14,FALSE)</f>
        <v>51490.559999999998</v>
      </c>
      <c r="K186" s="59">
        <f>VLOOKUP(A186,'611'!D:Q,14,FALSE)</f>
        <v>51490.559999999998</v>
      </c>
      <c r="O186" t="s">
        <v>531</v>
      </c>
      <c r="P186" t="str">
        <f>_xlfn.IFNA(VLOOKUP(A186,IndirectCost!B:L,11,FALSE),"")</f>
        <v/>
      </c>
      <c r="Q186">
        <f t="shared" si="2"/>
        <v>0</v>
      </c>
    </row>
    <row r="187" spans="1:17">
      <c r="A187" t="s">
        <v>747</v>
      </c>
      <c r="B187" t="s">
        <v>748</v>
      </c>
      <c r="C187" t="str">
        <f>VLOOKUP(A187,Districts!A:I,9,FALSE)</f>
        <v>CPLC Community Schools</v>
      </c>
      <c r="D187" t="str">
        <f>VLOOKUP(A187,Districts!A:P,16,FALSE)</f>
        <v>Y63RK3FN3MG3</v>
      </c>
      <c r="E187" t="s">
        <v>528</v>
      </c>
      <c r="F187" s="1">
        <v>45200</v>
      </c>
      <c r="G187" t="s">
        <v>529</v>
      </c>
      <c r="H187" t="s">
        <v>530</v>
      </c>
      <c r="I187" s="59">
        <f>VLOOKUP(A187,'611'!D:F,3,FALSE)</f>
        <v>17927.45</v>
      </c>
      <c r="J187" s="59">
        <f>VLOOKUP(A187,'611'!D:Q,14,FALSE)</f>
        <v>17927.45</v>
      </c>
      <c r="K187" s="59">
        <f>VLOOKUP(A187,'611'!D:Q,14,FALSE)</f>
        <v>17927.45</v>
      </c>
      <c r="O187" t="s">
        <v>531</v>
      </c>
      <c r="P187" t="str">
        <f>_xlfn.IFNA(VLOOKUP(A187,IndirectCost!B:L,11,FALSE),"")</f>
        <v/>
      </c>
      <c r="Q187">
        <f t="shared" si="2"/>
        <v>0</v>
      </c>
    </row>
    <row r="188" spans="1:17">
      <c r="A188" t="s">
        <v>749</v>
      </c>
      <c r="B188" t="s">
        <v>750</v>
      </c>
      <c r="C188" t="str">
        <f>VLOOKUP(A188,Districts!A:I,9,FALSE)</f>
        <v>CPLC Community Schools</v>
      </c>
      <c r="D188" t="str">
        <f>VLOOKUP(A188,Districts!A:P,16,FALSE)</f>
        <v>Y63RK3FN3MG3</v>
      </c>
      <c r="E188" t="s">
        <v>528</v>
      </c>
      <c r="F188" s="1">
        <v>45200</v>
      </c>
      <c r="G188" t="s">
        <v>529</v>
      </c>
      <c r="H188" t="s">
        <v>530</v>
      </c>
      <c r="I188" s="59">
        <f>VLOOKUP(A188,'611'!D:F,3,FALSE)</f>
        <v>23622.59</v>
      </c>
      <c r="J188" s="59">
        <f>VLOOKUP(A188,'611'!D:Q,14,FALSE)</f>
        <v>23622.59</v>
      </c>
      <c r="K188" s="59">
        <f>VLOOKUP(A188,'611'!D:Q,14,FALSE)</f>
        <v>23622.59</v>
      </c>
      <c r="O188" t="s">
        <v>531</v>
      </c>
      <c r="P188" t="str">
        <f>_xlfn.IFNA(VLOOKUP(A188,IndirectCost!B:L,11,FALSE),"")</f>
        <v/>
      </c>
      <c r="Q188">
        <f t="shared" si="2"/>
        <v>0</v>
      </c>
    </row>
    <row r="189" spans="1:17">
      <c r="A189" t="s">
        <v>751</v>
      </c>
      <c r="B189" t="s">
        <v>752</v>
      </c>
      <c r="C189" t="str">
        <f>VLOOKUP(A189,Districts!A:I,9,FALSE)</f>
        <v>CPLC Community Schools</v>
      </c>
      <c r="D189" t="str">
        <f>VLOOKUP(A189,Districts!A:P,16,FALSE)</f>
        <v>Y63RK3FN3MG3</v>
      </c>
      <c r="E189" t="s">
        <v>528</v>
      </c>
      <c r="F189" s="1">
        <v>45200</v>
      </c>
      <c r="G189" t="s">
        <v>529</v>
      </c>
      <c r="H189" t="s">
        <v>530</v>
      </c>
      <c r="I189" s="59">
        <f>VLOOKUP(A189,'611'!D:F,3,FALSE)</f>
        <v>19790.400000000001</v>
      </c>
      <c r="J189" s="59">
        <f>VLOOKUP(A189,'611'!D:Q,14,FALSE)</f>
        <v>19790.400000000001</v>
      </c>
      <c r="K189" s="59">
        <f>VLOOKUP(A189,'611'!D:Q,14,FALSE)</f>
        <v>19790.400000000001</v>
      </c>
      <c r="O189" t="s">
        <v>531</v>
      </c>
      <c r="P189" t="str">
        <f>_xlfn.IFNA(VLOOKUP(A189,IndirectCost!B:L,11,FALSE),"")</f>
        <v/>
      </c>
      <c r="Q189">
        <f t="shared" si="2"/>
        <v>0</v>
      </c>
    </row>
    <row r="190" spans="1:17">
      <c r="A190" t="s">
        <v>165</v>
      </c>
      <c r="B190" t="s">
        <v>753</v>
      </c>
      <c r="C190" t="str">
        <f>VLOOKUP(A190,Districts!A:I,9,FALSE)</f>
        <v>Crane Elementary School District</v>
      </c>
      <c r="D190" t="str">
        <f>VLOOKUP(A190,Districts!A:P,16,FALSE)</f>
        <v>FQLAFBJCWKN6</v>
      </c>
      <c r="E190" t="s">
        <v>528</v>
      </c>
      <c r="F190" s="1">
        <v>45200</v>
      </c>
      <c r="G190" t="s">
        <v>529</v>
      </c>
      <c r="H190" t="s">
        <v>530</v>
      </c>
      <c r="I190" s="59">
        <f>VLOOKUP(A190,'611'!D:F,3,FALSE)</f>
        <v>1285438.01</v>
      </c>
      <c r="J190" s="59">
        <f>VLOOKUP(A190,'611'!D:Q,14,FALSE)</f>
        <v>1923891.19</v>
      </c>
      <c r="K190" s="59">
        <f>VLOOKUP(A190,'611'!D:Q,14,FALSE)</f>
        <v>1923891.19</v>
      </c>
      <c r="O190" t="s">
        <v>531</v>
      </c>
      <c r="P190">
        <f>_xlfn.IFNA(VLOOKUP(A190,IndirectCost!B:L,11,FALSE),"")</f>
        <v>0</v>
      </c>
      <c r="Q190">
        <f t="shared" si="2"/>
        <v>0</v>
      </c>
    </row>
    <row r="191" spans="1:17">
      <c r="A191" t="s">
        <v>166</v>
      </c>
      <c r="B191" t="s">
        <v>754</v>
      </c>
      <c r="C191" t="str">
        <f>VLOOKUP(A191,Districts!A:I,9,FALSE)</f>
        <v>Creighton School District #14</v>
      </c>
      <c r="D191" t="str">
        <f>VLOOKUP(A191,Districts!A:P,16,FALSE)</f>
        <v>NQ8DLM6LLNB1</v>
      </c>
      <c r="E191" t="s">
        <v>528</v>
      </c>
      <c r="F191" s="1">
        <v>45200</v>
      </c>
      <c r="G191" t="s">
        <v>529</v>
      </c>
      <c r="H191" t="s">
        <v>530</v>
      </c>
      <c r="I191" s="59">
        <f>VLOOKUP(A191,'611'!D:F,3,FALSE)</f>
        <v>1398523.67</v>
      </c>
      <c r="J191" s="59">
        <f>VLOOKUP(A191,'611'!D:Q,14,FALSE)</f>
        <v>2325274.09</v>
      </c>
      <c r="K191" s="59">
        <f>VLOOKUP(A191,'611'!D:Q,14,FALSE)</f>
        <v>2325274.09</v>
      </c>
      <c r="O191" t="s">
        <v>531</v>
      </c>
      <c r="P191">
        <f>_xlfn.IFNA(VLOOKUP(A191,IndirectCost!B:L,11,FALSE),"")</f>
        <v>8</v>
      </c>
      <c r="Q191">
        <f t="shared" si="2"/>
        <v>0.08</v>
      </c>
    </row>
    <row r="192" spans="1:17">
      <c r="A192" t="s">
        <v>167</v>
      </c>
      <c r="B192" t="s">
        <v>755</v>
      </c>
      <c r="C192" t="str">
        <f>VLOOKUP(A192,Districts!A:I,9,FALSE)</f>
        <v>Crown Charter School, Inc.</v>
      </c>
      <c r="D192" t="str">
        <f>VLOOKUP(A192,Districts!A:P,16,FALSE)</f>
        <v>GANCJKAAHKF4</v>
      </c>
      <c r="E192" t="s">
        <v>528</v>
      </c>
      <c r="F192" s="1">
        <v>45200</v>
      </c>
      <c r="G192" t="s">
        <v>529</v>
      </c>
      <c r="H192" t="s">
        <v>530</v>
      </c>
      <c r="I192" s="59">
        <f>VLOOKUP(A192,'611'!D:F,3,FALSE)</f>
        <v>46708.72</v>
      </c>
      <c r="J192" s="59">
        <f>VLOOKUP(A192,'611'!D:Q,14,FALSE)</f>
        <v>46708.72</v>
      </c>
      <c r="K192" s="59">
        <f>VLOOKUP(A192,'611'!D:Q,14,FALSE)</f>
        <v>46708.72</v>
      </c>
      <c r="O192" t="s">
        <v>531</v>
      </c>
      <c r="P192" t="str">
        <f>_xlfn.IFNA(VLOOKUP(A192,IndirectCost!B:L,11,FALSE),"")</f>
        <v/>
      </c>
      <c r="Q192">
        <f t="shared" si="2"/>
        <v>0</v>
      </c>
    </row>
    <row r="193" spans="1:17">
      <c r="A193" t="s">
        <v>756</v>
      </c>
      <c r="B193" t="s">
        <v>757</v>
      </c>
      <c r="C193" t="str">
        <f>VLOOKUP(A193,Districts!A:I,9,FALSE)</f>
        <v>Crown King School District 41</v>
      </c>
      <c r="D193" t="str">
        <f>VLOOKUP(A193,Districts!A:P,16,FALSE)</f>
        <v>LC9UDQBT7TP4</v>
      </c>
      <c r="E193" t="s">
        <v>528</v>
      </c>
      <c r="F193" s="1">
        <v>45200</v>
      </c>
      <c r="G193" t="s">
        <v>529</v>
      </c>
      <c r="H193" t="s">
        <v>530</v>
      </c>
      <c r="I193" s="59">
        <f>VLOOKUP(A193,'611'!D:F,3,FALSE)</f>
        <v>1986.7</v>
      </c>
      <c r="J193" s="59">
        <f>VLOOKUP(A193,'611'!D:Q,14,FALSE)</f>
        <v>3415.55</v>
      </c>
      <c r="K193" s="59">
        <f>VLOOKUP(A193,'611'!D:Q,14,FALSE)</f>
        <v>3415.55</v>
      </c>
      <c r="O193" t="s">
        <v>531</v>
      </c>
      <c r="P193" t="str">
        <f>_xlfn.IFNA(VLOOKUP(A193,IndirectCost!B:L,11,FALSE),"")</f>
        <v/>
      </c>
      <c r="Q193">
        <f t="shared" si="2"/>
        <v>0</v>
      </c>
    </row>
    <row r="194" spans="1:17">
      <c r="A194" t="s">
        <v>168</v>
      </c>
      <c r="B194" t="s">
        <v>758</v>
      </c>
      <c r="C194" t="str">
        <f>VLOOKUP(A194,Districts!A:I,9,FALSE)</f>
        <v>Daisy Education Corporation dba Paragon Science Academy</v>
      </c>
      <c r="D194" t="str">
        <f>VLOOKUP(A194,Districts!A:P,16,FALSE)</f>
        <v>N28ZHJ6JFJD9</v>
      </c>
      <c r="E194" t="s">
        <v>528</v>
      </c>
      <c r="F194" s="1">
        <v>45200</v>
      </c>
      <c r="G194" t="s">
        <v>529</v>
      </c>
      <c r="H194" t="s">
        <v>530</v>
      </c>
      <c r="I194" s="59">
        <f>VLOOKUP(A194,'611'!D:F,3,FALSE)</f>
        <v>83402.59</v>
      </c>
      <c r="J194" s="59">
        <f>VLOOKUP(A194,'611'!D:Q,14,FALSE)</f>
        <v>83402.59</v>
      </c>
      <c r="K194" s="59">
        <f>VLOOKUP(A194,'611'!D:Q,14,FALSE)</f>
        <v>83402.59</v>
      </c>
      <c r="O194" t="s">
        <v>531</v>
      </c>
      <c r="P194">
        <f>_xlfn.IFNA(VLOOKUP(A194,IndirectCost!B:L,11,FALSE),"")</f>
        <v>8</v>
      </c>
      <c r="Q194">
        <f t="shared" si="2"/>
        <v>0.08</v>
      </c>
    </row>
    <row r="195" spans="1:17">
      <c r="A195" t="s">
        <v>170</v>
      </c>
      <c r="B195" t="s">
        <v>759</v>
      </c>
      <c r="C195" t="str">
        <f>VLOOKUP(A195,Districts!A:I,9,FALSE)</f>
        <v>Daisy Education Corporation dba Sonoran Science Academy - Phoenix</v>
      </c>
      <c r="D195" t="str">
        <f>VLOOKUP(A195,Districts!A:P,16,FALSE)</f>
        <v>JFQNWMFDHFR3</v>
      </c>
      <c r="E195" t="s">
        <v>528</v>
      </c>
      <c r="F195" s="1">
        <v>45200</v>
      </c>
      <c r="G195" t="s">
        <v>529</v>
      </c>
      <c r="H195" t="s">
        <v>530</v>
      </c>
      <c r="I195" s="59">
        <f>VLOOKUP(A195,'611'!D:F,3,FALSE)</f>
        <v>68327.199999999997</v>
      </c>
      <c r="J195" s="59">
        <f>VLOOKUP(A195,'611'!D:Q,14,FALSE)</f>
        <v>68327.199999999997</v>
      </c>
      <c r="K195" s="59">
        <f>VLOOKUP(A195,'611'!D:Q,14,FALSE)</f>
        <v>68327.199999999997</v>
      </c>
      <c r="O195" t="s">
        <v>531</v>
      </c>
      <c r="P195">
        <f>_xlfn.IFNA(VLOOKUP(A195,IndirectCost!B:L,11,FALSE),"")</f>
        <v>8</v>
      </c>
      <c r="Q195">
        <f t="shared" si="2"/>
        <v>0.08</v>
      </c>
    </row>
    <row r="196" spans="1:17">
      <c r="A196" t="s">
        <v>171</v>
      </c>
      <c r="B196" t="s">
        <v>760</v>
      </c>
      <c r="C196" t="str">
        <f>VLOOKUP(A196,Districts!A:I,9,FALSE)</f>
        <v>Daisy Education Corporation dba Sonoran Science Academy - East</v>
      </c>
      <c r="D196" t="str">
        <f>VLOOKUP(A196,Districts!A:P,16,FALSE)</f>
        <v>LBU9LMDBYDL5</v>
      </c>
      <c r="E196" t="s">
        <v>528</v>
      </c>
      <c r="F196" s="1">
        <v>45200</v>
      </c>
      <c r="G196" t="s">
        <v>529</v>
      </c>
      <c r="H196" t="s">
        <v>530</v>
      </c>
      <c r="I196" s="59">
        <f>VLOOKUP(A196,'611'!D:F,3,FALSE)</f>
        <v>76812.350000000006</v>
      </c>
      <c r="J196" s="59">
        <f>VLOOKUP(A196,'611'!D:Q,14,FALSE)</f>
        <v>76812.350000000006</v>
      </c>
      <c r="K196" s="59">
        <f>VLOOKUP(A196,'611'!D:Q,14,FALSE)</f>
        <v>76812.350000000006</v>
      </c>
      <c r="O196" t="s">
        <v>531</v>
      </c>
      <c r="P196">
        <f>_xlfn.IFNA(VLOOKUP(A196,IndirectCost!B:L,11,FALSE),"")</f>
        <v>8</v>
      </c>
      <c r="Q196">
        <f t="shared" ref="Q196:Q259" si="3">IFERROR(P196/100,0)</f>
        <v>0.08</v>
      </c>
    </row>
    <row r="197" spans="1:17">
      <c r="A197" t="s">
        <v>169</v>
      </c>
      <c r="B197" t="s">
        <v>761</v>
      </c>
      <c r="C197" t="str">
        <f>VLOOKUP(A197,Districts!A:I,9,FALSE)</f>
        <v>Daisy Education Corporation dba Sonoran Science Academy Tucson</v>
      </c>
      <c r="D197" t="str">
        <f>VLOOKUP(A197,Districts!A:P,16,FALSE)</f>
        <v>RD9EPMGTG735</v>
      </c>
      <c r="E197" t="s">
        <v>528</v>
      </c>
      <c r="F197" s="1">
        <v>45200</v>
      </c>
      <c r="G197" t="s">
        <v>529</v>
      </c>
      <c r="H197" t="s">
        <v>530</v>
      </c>
      <c r="I197" s="59">
        <f>VLOOKUP(A197,'611'!D:F,3,FALSE)</f>
        <v>124541.34</v>
      </c>
      <c r="J197" s="59">
        <f>VLOOKUP(A197,'611'!D:Q,14,FALSE)</f>
        <v>124541.34</v>
      </c>
      <c r="K197" s="59">
        <f>VLOOKUP(A197,'611'!D:Q,14,FALSE)</f>
        <v>124541.34</v>
      </c>
      <c r="O197" t="s">
        <v>531</v>
      </c>
      <c r="P197">
        <f>_xlfn.IFNA(VLOOKUP(A197,IndirectCost!B:L,11,FALSE),"")</f>
        <v>8</v>
      </c>
      <c r="Q197">
        <f t="shared" si="3"/>
        <v>0.08</v>
      </c>
    </row>
    <row r="198" spans="1:17">
      <c r="A198" t="s">
        <v>762</v>
      </c>
      <c r="B198" t="s">
        <v>763</v>
      </c>
      <c r="C198" t="str">
        <f>VLOOKUP(A198,Districts!A:I,9,FALSE)</f>
        <v>Daisy Education Corporation dba Sonoran Science Academy - Davis Monthan</v>
      </c>
      <c r="D198" t="str">
        <f>VLOOKUP(A198,Districts!A:P,16,FALSE)</f>
        <v>FPG9SJU2GEK3</v>
      </c>
      <c r="E198" t="s">
        <v>528</v>
      </c>
      <c r="F198" s="1">
        <v>45200</v>
      </c>
      <c r="G198" t="s">
        <v>529</v>
      </c>
      <c r="H198" t="s">
        <v>530</v>
      </c>
      <c r="I198" s="59">
        <f>VLOOKUP(A198,'611'!D:F,3,FALSE)</f>
        <v>33976.11</v>
      </c>
      <c r="J198" s="59">
        <f>VLOOKUP(A198,'611'!D:Q,14,FALSE)</f>
        <v>33976.11</v>
      </c>
      <c r="K198" s="59">
        <f>VLOOKUP(A198,'611'!D:Q,14,FALSE)</f>
        <v>33976.11</v>
      </c>
      <c r="O198" t="s">
        <v>531</v>
      </c>
      <c r="P198">
        <f>_xlfn.IFNA(VLOOKUP(A198,IndirectCost!B:L,11,FALSE),"")</f>
        <v>8</v>
      </c>
      <c r="Q198">
        <f t="shared" si="3"/>
        <v>0.08</v>
      </c>
    </row>
    <row r="199" spans="1:17">
      <c r="A199" t="s">
        <v>172</v>
      </c>
      <c r="B199" t="s">
        <v>764</v>
      </c>
      <c r="C199" t="str">
        <f>VLOOKUP(A199,Districts!A:I,9,FALSE)</f>
        <v>Daisy Education Corporation dba Sonoran Science Academy - Peoria</v>
      </c>
      <c r="D199" t="str">
        <f>VLOOKUP(A199,Districts!A:P,16,FALSE)</f>
        <v>LGNUAW8NXAN3</v>
      </c>
      <c r="E199" t="s">
        <v>528</v>
      </c>
      <c r="F199" s="1">
        <v>45200</v>
      </c>
      <c r="G199" t="s">
        <v>529</v>
      </c>
      <c r="H199" t="s">
        <v>530</v>
      </c>
      <c r="I199" s="59">
        <f>VLOOKUP(A199,'611'!D:F,3,FALSE)</f>
        <v>37191.050000000003</v>
      </c>
      <c r="J199" s="59">
        <f>VLOOKUP(A199,'611'!D:Q,14,FALSE)</f>
        <v>37191.050000000003</v>
      </c>
      <c r="K199" s="59">
        <f>VLOOKUP(A199,'611'!D:Q,14,FALSE)</f>
        <v>37191.050000000003</v>
      </c>
      <c r="O199" t="s">
        <v>531</v>
      </c>
      <c r="P199">
        <f>_xlfn.IFNA(VLOOKUP(A199,IndirectCost!B:L,11,FALSE),"")</f>
        <v>8</v>
      </c>
      <c r="Q199">
        <f t="shared" si="3"/>
        <v>0.08</v>
      </c>
    </row>
    <row r="200" spans="1:17">
      <c r="A200" t="s">
        <v>765</v>
      </c>
      <c r="B200" t="s">
        <v>766</v>
      </c>
      <c r="C200" t="str">
        <f>VLOOKUP(A200,Districts!A:I,9,FALSE)</f>
        <v>Deer Valley Academy</v>
      </c>
      <c r="D200" t="str">
        <f>VLOOKUP(A200,Districts!A:P,16,FALSE)</f>
        <v>RCCAADN14VU6</v>
      </c>
      <c r="E200" t="s">
        <v>528</v>
      </c>
      <c r="F200" s="1">
        <v>45200</v>
      </c>
      <c r="G200" t="s">
        <v>529</v>
      </c>
      <c r="H200" t="s">
        <v>530</v>
      </c>
      <c r="I200" s="59">
        <f>VLOOKUP(A200,'611'!D:F,3,FALSE)</f>
        <v>6370.84</v>
      </c>
      <c r="J200" s="59">
        <f>VLOOKUP(A200,'611'!D:Q,14,FALSE)</f>
        <v>6370.84</v>
      </c>
      <c r="K200" s="59">
        <f>VLOOKUP(A200,'611'!D:Q,14,FALSE)</f>
        <v>6370.84</v>
      </c>
      <c r="O200" t="s">
        <v>531</v>
      </c>
      <c r="P200" t="str">
        <f>_xlfn.IFNA(VLOOKUP(A200,IndirectCost!B:L,11,FALSE),"")</f>
        <v/>
      </c>
      <c r="Q200">
        <f t="shared" si="3"/>
        <v>0</v>
      </c>
    </row>
    <row r="201" spans="1:17">
      <c r="A201" t="s">
        <v>173</v>
      </c>
      <c r="B201" t="s">
        <v>767</v>
      </c>
      <c r="C201" t="str">
        <f>VLOOKUP(A201,Districts!A:I,9,FALSE)</f>
        <v>Deer Valley School District #97</v>
      </c>
      <c r="D201" t="str">
        <f>VLOOKUP(A201,Districts!A:P,16,FALSE)</f>
        <v>LQQ4SRYSCKM1</v>
      </c>
      <c r="E201" t="s">
        <v>528</v>
      </c>
      <c r="F201" s="1">
        <v>45200</v>
      </c>
      <c r="G201" t="s">
        <v>529</v>
      </c>
      <c r="H201" t="s">
        <v>530</v>
      </c>
      <c r="I201" s="59">
        <f>VLOOKUP(A201,'611'!D:F,3,FALSE)</f>
        <v>6451602.6600000001</v>
      </c>
      <c r="J201" s="59">
        <f>VLOOKUP(A201,'611'!D:Q,14,FALSE)</f>
        <v>10974550.289999999</v>
      </c>
      <c r="K201" s="59">
        <f>VLOOKUP(A201,'611'!D:Q,14,FALSE)</f>
        <v>10974550.289999999</v>
      </c>
      <c r="O201" t="s">
        <v>531</v>
      </c>
      <c r="P201">
        <f>_xlfn.IFNA(VLOOKUP(A201,IndirectCost!B:L,11,FALSE),"")</f>
        <v>4.96</v>
      </c>
      <c r="Q201">
        <f t="shared" si="3"/>
        <v>4.9599999999999998E-2</v>
      </c>
    </row>
    <row r="202" spans="1:17">
      <c r="A202" t="s">
        <v>174</v>
      </c>
      <c r="B202" t="s">
        <v>768</v>
      </c>
      <c r="C202" t="str">
        <f>VLOOKUP(A202,Districts!A:I,9,FALSE)</f>
        <v>Desert Heights Charter Schools</v>
      </c>
      <c r="D202" t="str">
        <f>VLOOKUP(A202,Districts!A:P,16,FALSE)</f>
        <v>H2J9Q4D5B1W4</v>
      </c>
      <c r="E202" t="s">
        <v>528</v>
      </c>
      <c r="F202" s="1">
        <v>45200</v>
      </c>
      <c r="G202" t="s">
        <v>529</v>
      </c>
      <c r="H202" t="s">
        <v>530</v>
      </c>
      <c r="I202" s="59">
        <f>VLOOKUP(A202,'611'!D:F,3,FALSE)</f>
        <v>142802.9</v>
      </c>
      <c r="J202" s="59">
        <f>VLOOKUP(A202,'611'!D:Q,14,FALSE)</f>
        <v>142802.9</v>
      </c>
      <c r="K202" s="59">
        <f>VLOOKUP(A202,'611'!D:Q,14,FALSE)</f>
        <v>142802.9</v>
      </c>
      <c r="O202" t="s">
        <v>531</v>
      </c>
      <c r="P202" t="str">
        <f>_xlfn.IFNA(VLOOKUP(A202,IndirectCost!B:L,11,FALSE),"")</f>
        <v/>
      </c>
      <c r="Q202">
        <f t="shared" si="3"/>
        <v>0</v>
      </c>
    </row>
    <row r="203" spans="1:17">
      <c r="A203" t="s">
        <v>769</v>
      </c>
      <c r="B203" t="s">
        <v>770</v>
      </c>
      <c r="C203" t="str">
        <f>VLOOKUP(A203,Districts!A:I,9,FALSE)</f>
        <v>Desert Sage School</v>
      </c>
      <c r="D203">
        <f>VLOOKUP(A203,Districts!A:P,16,FALSE)</f>
        <v>0</v>
      </c>
      <c r="E203" t="s">
        <v>528</v>
      </c>
      <c r="F203" s="1">
        <v>45200</v>
      </c>
      <c r="G203" t="s">
        <v>529</v>
      </c>
      <c r="H203" t="s">
        <v>530</v>
      </c>
      <c r="I203" s="59">
        <f>VLOOKUP(A203,'611'!D:F,3,FALSE)</f>
        <v>5705.7</v>
      </c>
      <c r="J203" s="59">
        <f>VLOOKUP(A203,'611'!D:Q,14,FALSE)</f>
        <v>5705.7</v>
      </c>
      <c r="K203" s="59">
        <f>VLOOKUP(A203,'611'!D:Q,14,FALSE)</f>
        <v>5705.7</v>
      </c>
      <c r="O203" t="s">
        <v>531</v>
      </c>
      <c r="P203" t="str">
        <f>_xlfn.IFNA(VLOOKUP(A203,IndirectCost!B:L,11,FALSE),"")</f>
        <v/>
      </c>
      <c r="Q203">
        <f t="shared" si="3"/>
        <v>0</v>
      </c>
    </row>
    <row r="204" spans="1:17">
      <c r="A204" t="s">
        <v>175</v>
      </c>
      <c r="B204" t="s">
        <v>771</v>
      </c>
      <c r="C204" t="str">
        <f>VLOOKUP(A204,Districts!A:I,9,FALSE)</f>
        <v>Desert Sky Community School</v>
      </c>
      <c r="D204" t="str">
        <f>VLOOKUP(A204,Districts!A:P,16,FALSE)</f>
        <v>EB6XLJDQ1633</v>
      </c>
      <c r="E204" t="s">
        <v>528</v>
      </c>
      <c r="F204" s="1">
        <v>45200</v>
      </c>
      <c r="G204" t="s">
        <v>529</v>
      </c>
      <c r="H204" t="s">
        <v>530</v>
      </c>
      <c r="I204" s="59">
        <f>VLOOKUP(A204,'611'!D:F,3,FALSE)</f>
        <v>6639.84</v>
      </c>
      <c r="J204" s="59">
        <f>VLOOKUP(A204,'611'!D:Q,14,FALSE)</f>
        <v>6639.84</v>
      </c>
      <c r="K204" s="59">
        <f>VLOOKUP(A204,'611'!D:Q,14,FALSE)</f>
        <v>6639.84</v>
      </c>
      <c r="O204" t="s">
        <v>531</v>
      </c>
      <c r="P204" t="str">
        <f>_xlfn.IFNA(VLOOKUP(A204,IndirectCost!B:L,11,FALSE),"")</f>
        <v/>
      </c>
      <c r="Q204">
        <f t="shared" si="3"/>
        <v>0</v>
      </c>
    </row>
    <row r="205" spans="1:17">
      <c r="A205" t="s">
        <v>176</v>
      </c>
      <c r="B205" t="s">
        <v>772</v>
      </c>
      <c r="C205" t="str">
        <f>VLOOKUP(A205,Districts!A:I,9,FALSE)</f>
        <v>Desert Star Academy Inc</v>
      </c>
      <c r="D205" t="str">
        <f>VLOOKUP(A205,Districts!A:P,16,FALSE)</f>
        <v>X5R6Q969CLY7</v>
      </c>
      <c r="E205" t="s">
        <v>528</v>
      </c>
      <c r="F205" s="1">
        <v>45200</v>
      </c>
      <c r="G205" t="s">
        <v>529</v>
      </c>
      <c r="H205" t="s">
        <v>530</v>
      </c>
      <c r="I205" s="59">
        <f>VLOOKUP(A205,'611'!D:F,3,FALSE)</f>
        <v>75791.88</v>
      </c>
      <c r="J205" s="59">
        <f>VLOOKUP(A205,'611'!D:Q,14,FALSE)</f>
        <v>75791.88</v>
      </c>
      <c r="K205" s="59">
        <f>VLOOKUP(A205,'611'!D:Q,14,FALSE)</f>
        <v>75791.88</v>
      </c>
      <c r="O205" t="s">
        <v>531</v>
      </c>
      <c r="P205" t="str">
        <f>_xlfn.IFNA(VLOOKUP(A205,IndirectCost!B:L,11,FALSE),"")</f>
        <v/>
      </c>
      <c r="Q205">
        <f t="shared" si="3"/>
        <v>0</v>
      </c>
    </row>
    <row r="206" spans="1:17">
      <c r="A206" t="s">
        <v>177</v>
      </c>
      <c r="B206" t="s">
        <v>773</v>
      </c>
      <c r="C206" t="str">
        <f>VLOOKUP(A206,Districts!A:I,9,FALSE)</f>
        <v>Desert Star Community School</v>
      </c>
      <c r="D206" t="str">
        <f>VLOOKUP(A206,Districts!A:P,16,FALSE)</f>
        <v>DHM2CXS1DLZ5</v>
      </c>
      <c r="E206" t="s">
        <v>528</v>
      </c>
      <c r="F206" s="1">
        <v>45200</v>
      </c>
      <c r="G206" t="s">
        <v>529</v>
      </c>
      <c r="H206" t="s">
        <v>530</v>
      </c>
      <c r="I206" s="59">
        <f>VLOOKUP(A206,'611'!D:F,3,FALSE)</f>
        <v>21017.43</v>
      </c>
      <c r="J206" s="59">
        <f>VLOOKUP(A206,'611'!D:Q,14,FALSE)</f>
        <v>46220.36</v>
      </c>
      <c r="K206" s="59">
        <f>VLOOKUP(A206,'611'!D:Q,14,FALSE)</f>
        <v>46220.36</v>
      </c>
      <c r="O206" t="s">
        <v>531</v>
      </c>
      <c r="P206" t="str">
        <f>_xlfn.IFNA(VLOOKUP(A206,IndirectCost!B:L,11,FALSE),"")</f>
        <v/>
      </c>
      <c r="Q206">
        <f t="shared" si="3"/>
        <v>0</v>
      </c>
    </row>
    <row r="207" spans="1:17">
      <c r="A207" t="s">
        <v>178</v>
      </c>
      <c r="B207" t="s">
        <v>774</v>
      </c>
      <c r="C207" t="str">
        <f>VLOOKUP(A207,Districts!A:I,9,FALSE)</f>
        <v>Destiny School</v>
      </c>
      <c r="D207" t="str">
        <f>VLOOKUP(A207,Districts!A:P,16,FALSE)</f>
        <v>EK8EHNLR8PB5</v>
      </c>
      <c r="E207" t="s">
        <v>528</v>
      </c>
      <c r="F207" s="1">
        <v>45200</v>
      </c>
      <c r="G207" t="s">
        <v>529</v>
      </c>
      <c r="H207" t="s">
        <v>530</v>
      </c>
      <c r="I207" s="59">
        <f>VLOOKUP(A207,'611'!D:F,3,FALSE)</f>
        <v>65919.14</v>
      </c>
      <c r="J207" s="59">
        <f>VLOOKUP(A207,'611'!D:Q,14,FALSE)</f>
        <v>65919.14</v>
      </c>
      <c r="K207" s="59">
        <f>VLOOKUP(A207,'611'!D:Q,14,FALSE)</f>
        <v>65919.14</v>
      </c>
      <c r="O207" t="s">
        <v>531</v>
      </c>
      <c r="P207" t="str">
        <f>_xlfn.IFNA(VLOOKUP(A207,IndirectCost!B:L,11,FALSE),"")</f>
        <v/>
      </c>
      <c r="Q207">
        <f t="shared" si="3"/>
        <v>0</v>
      </c>
    </row>
    <row r="208" spans="1:17">
      <c r="A208" t="s">
        <v>179</v>
      </c>
      <c r="B208" t="s">
        <v>775</v>
      </c>
      <c r="C208" t="str">
        <f>VLOOKUP(A208,Districts!A:I,9,FALSE)</f>
        <v>Discovery Plus</v>
      </c>
      <c r="D208" t="str">
        <f>VLOOKUP(A208,Districts!A:P,16,FALSE)</f>
        <v>SLZ4NWCND413</v>
      </c>
      <c r="E208" t="s">
        <v>528</v>
      </c>
      <c r="F208" s="1">
        <v>45200</v>
      </c>
      <c r="G208" t="s">
        <v>529</v>
      </c>
      <c r="H208" t="s">
        <v>530</v>
      </c>
      <c r="I208" s="59">
        <f>VLOOKUP(A208,'611'!D:F,3,FALSE)</f>
        <v>17629.560000000001</v>
      </c>
      <c r="J208" s="59">
        <f>VLOOKUP(A208,'611'!D:Q,14,FALSE)</f>
        <v>19383.43</v>
      </c>
      <c r="K208" s="59">
        <f>VLOOKUP(A208,'611'!D:Q,14,FALSE)</f>
        <v>19383.43</v>
      </c>
      <c r="O208" t="s">
        <v>531</v>
      </c>
      <c r="P208" t="str">
        <f>_xlfn.IFNA(VLOOKUP(A208,IndirectCost!B:L,11,FALSE),"")</f>
        <v/>
      </c>
      <c r="Q208">
        <f t="shared" si="3"/>
        <v>0</v>
      </c>
    </row>
    <row r="209" spans="1:17">
      <c r="A209" t="s">
        <v>180</v>
      </c>
      <c r="B209" t="s">
        <v>776</v>
      </c>
      <c r="C209" t="str">
        <f>VLOOKUP(A209,Districts!A:I,9,FALSE)</f>
        <v>Hannah Hurtado</v>
      </c>
      <c r="D209" t="str">
        <f>VLOOKUP(A209,Districts!A:P,16,FALSE)</f>
        <v>NRZGBH7BTPH3</v>
      </c>
      <c r="E209" t="s">
        <v>528</v>
      </c>
      <c r="F209" s="1">
        <v>45200</v>
      </c>
      <c r="G209" t="s">
        <v>529</v>
      </c>
      <c r="H209" t="s">
        <v>530</v>
      </c>
      <c r="I209" s="59">
        <f>VLOOKUP(A209,'611'!D:F,3,FALSE)</f>
        <v>11266.94</v>
      </c>
      <c r="J209" s="59">
        <f>VLOOKUP(A209,'611'!D:Q,14,FALSE)</f>
        <v>11266.94</v>
      </c>
      <c r="K209" s="59">
        <f>VLOOKUP(A209,'611'!D:Q,14,FALSE)</f>
        <v>11266.94</v>
      </c>
      <c r="O209" t="s">
        <v>531</v>
      </c>
      <c r="P209" t="str">
        <f>_xlfn.IFNA(VLOOKUP(A209,IndirectCost!B:L,11,FALSE),"")</f>
        <v/>
      </c>
      <c r="Q209">
        <f t="shared" si="3"/>
        <v>0</v>
      </c>
    </row>
    <row r="210" spans="1:17">
      <c r="A210" t="s">
        <v>181</v>
      </c>
      <c r="B210" t="s">
        <v>777</v>
      </c>
      <c r="C210" t="str">
        <f>VLOOKUP(A210,Districts!A:I,9,FALSE)</f>
        <v>Douglas Unified School District #27</v>
      </c>
      <c r="D210" t="str">
        <f>VLOOKUP(A210,Districts!A:P,16,FALSE)</f>
        <v>K8V8MMF3DAX5</v>
      </c>
      <c r="E210" t="s">
        <v>528</v>
      </c>
      <c r="F210" s="1">
        <v>45200</v>
      </c>
      <c r="G210" t="s">
        <v>529</v>
      </c>
      <c r="H210" t="s">
        <v>530</v>
      </c>
      <c r="I210" s="59">
        <f>VLOOKUP(A210,'611'!D:F,3,FALSE)</f>
        <v>861436.55</v>
      </c>
      <c r="J210" s="59">
        <f>VLOOKUP(A210,'611'!D:Q,14,FALSE)</f>
        <v>914327.6</v>
      </c>
      <c r="K210" s="59">
        <f>VLOOKUP(A210,'611'!D:Q,14,FALSE)</f>
        <v>914327.6</v>
      </c>
      <c r="O210" t="s">
        <v>531</v>
      </c>
      <c r="P210">
        <f>_xlfn.IFNA(VLOOKUP(A210,IndirectCost!B:L,11,FALSE),"")</f>
        <v>7.16</v>
      </c>
      <c r="Q210">
        <f t="shared" si="3"/>
        <v>7.1599999999999997E-2</v>
      </c>
    </row>
    <row r="211" spans="1:17">
      <c r="A211" t="s">
        <v>182</v>
      </c>
      <c r="B211" t="s">
        <v>778</v>
      </c>
      <c r="C211" t="str">
        <f>VLOOKUP(A211,Districts!A:I,9,FALSE)</f>
        <v>DUNCAN USD</v>
      </c>
      <c r="D211" t="str">
        <f>VLOOKUP(A211,Districts!A:P,16,FALSE)</f>
        <v>X4SJCW5M3ZN3</v>
      </c>
      <c r="E211" t="s">
        <v>528</v>
      </c>
      <c r="F211" s="1">
        <v>45200</v>
      </c>
      <c r="G211" t="s">
        <v>529</v>
      </c>
      <c r="H211" t="s">
        <v>530</v>
      </c>
      <c r="I211" s="59">
        <f>VLOOKUP(A211,'611'!D:F,3,FALSE)</f>
        <v>92393.09</v>
      </c>
      <c r="J211" s="59">
        <f>VLOOKUP(A211,'611'!D:Q,14,FALSE)</f>
        <v>106099.03</v>
      </c>
      <c r="K211" s="59">
        <f>VLOOKUP(A211,'611'!D:Q,14,FALSE)</f>
        <v>106099.03</v>
      </c>
      <c r="O211" t="s">
        <v>531</v>
      </c>
      <c r="P211" t="str">
        <f>_xlfn.IFNA(VLOOKUP(A211,IndirectCost!B:L,11,FALSE),"")</f>
        <v/>
      </c>
      <c r="Q211">
        <f t="shared" si="3"/>
        <v>0</v>
      </c>
    </row>
    <row r="212" spans="1:17">
      <c r="A212" t="s">
        <v>183</v>
      </c>
      <c r="B212" t="s">
        <v>779</v>
      </c>
      <c r="C212" t="str">
        <f>VLOOKUP(A212,Districts!A:I,9,FALSE)</f>
        <v>Dysart Unified School District No. 89</v>
      </c>
      <c r="D212" t="str">
        <f>VLOOKUP(A212,Districts!A:P,16,FALSE)</f>
        <v>ER15CJPRV3X5</v>
      </c>
      <c r="E212" t="s">
        <v>528</v>
      </c>
      <c r="F212" s="1">
        <v>45200</v>
      </c>
      <c r="G212" t="s">
        <v>529</v>
      </c>
      <c r="H212" t="s">
        <v>530</v>
      </c>
      <c r="I212" s="59">
        <f>VLOOKUP(A212,'611'!D:F,3,FALSE)</f>
        <v>3984920.29</v>
      </c>
      <c r="J212" s="59">
        <f>VLOOKUP(A212,'611'!D:Q,14,FALSE)</f>
        <v>4817095.3099999996</v>
      </c>
      <c r="K212" s="59">
        <f>VLOOKUP(A212,'611'!D:Q,14,FALSE)</f>
        <v>4817095.3099999996</v>
      </c>
      <c r="O212" t="s">
        <v>531</v>
      </c>
      <c r="P212">
        <f>_xlfn.IFNA(VLOOKUP(A212,IndirectCost!B:L,11,FALSE),"")</f>
        <v>2.1800000000000002</v>
      </c>
      <c r="Q212">
        <f t="shared" si="3"/>
        <v>2.18E-2</v>
      </c>
    </row>
    <row r="213" spans="1:17">
      <c r="A213" t="s">
        <v>184</v>
      </c>
      <c r="B213" t="s">
        <v>780</v>
      </c>
      <c r="C213" t="str">
        <f>VLOOKUP(A213,Districts!A:I,9,FALSE)</f>
        <v>EAGLE College Prep Harmony, LLC</v>
      </c>
      <c r="D213" t="str">
        <f>VLOOKUP(A213,Districts!A:P,16,FALSE)</f>
        <v>XLKJCV9RJHD8</v>
      </c>
      <c r="E213" t="s">
        <v>528</v>
      </c>
      <c r="F213" s="1">
        <v>45200</v>
      </c>
      <c r="G213" t="s">
        <v>529</v>
      </c>
      <c r="H213" t="s">
        <v>530</v>
      </c>
      <c r="I213" s="59">
        <f>VLOOKUP(A213,'611'!D:F,3,FALSE)</f>
        <v>20352.91</v>
      </c>
      <c r="J213" s="59">
        <f>VLOOKUP(A213,'611'!D:Q,14,FALSE)</f>
        <v>0</v>
      </c>
      <c r="K213" s="59">
        <f>VLOOKUP(A213,'611'!D:Q,14,FALSE)</f>
        <v>0</v>
      </c>
      <c r="O213" t="s">
        <v>531</v>
      </c>
      <c r="P213" t="str">
        <f>_xlfn.IFNA(VLOOKUP(A213,IndirectCost!B:L,11,FALSE),"")</f>
        <v/>
      </c>
      <c r="Q213">
        <f t="shared" si="3"/>
        <v>0</v>
      </c>
    </row>
    <row r="214" spans="1:17">
      <c r="A214" t="s">
        <v>185</v>
      </c>
      <c r="B214" t="s">
        <v>781</v>
      </c>
      <c r="C214" t="str">
        <f>VLOOKUP(A214,Districts!A:I,9,FALSE)</f>
        <v>EAGLE College Prep Maryvale, LLC</v>
      </c>
      <c r="D214" t="str">
        <f>VLOOKUP(A214,Districts!A:P,16,FALSE)</f>
        <v>QXJ2NLK5VU43</v>
      </c>
      <c r="E214" t="s">
        <v>528</v>
      </c>
      <c r="F214" s="1">
        <v>45200</v>
      </c>
      <c r="G214" t="s">
        <v>529</v>
      </c>
      <c r="H214" t="s">
        <v>530</v>
      </c>
      <c r="I214" s="59">
        <f>VLOOKUP(A214,'611'!D:F,3,FALSE)</f>
        <v>68142.149999999994</v>
      </c>
      <c r="J214" s="59">
        <f>VLOOKUP(A214,'611'!D:Q,14,FALSE)</f>
        <v>106356.31</v>
      </c>
      <c r="K214" s="59">
        <f>VLOOKUP(A214,'611'!D:Q,14,FALSE)</f>
        <v>106356.31</v>
      </c>
      <c r="O214" t="s">
        <v>531</v>
      </c>
      <c r="P214">
        <f>_xlfn.IFNA(VLOOKUP(A214,IndirectCost!B:L,11,FALSE),"")</f>
        <v>8</v>
      </c>
      <c r="Q214">
        <f t="shared" si="3"/>
        <v>0.08</v>
      </c>
    </row>
    <row r="215" spans="1:17">
      <c r="A215" t="s">
        <v>186</v>
      </c>
      <c r="B215" t="s">
        <v>782</v>
      </c>
      <c r="C215" t="str">
        <f>VLOOKUP(A215,Districts!A:I,9,FALSE)</f>
        <v>EAGLE College Prep Mesa, LLC</v>
      </c>
      <c r="D215" t="str">
        <f>VLOOKUP(A215,Districts!A:P,16,FALSE)</f>
        <v>GQ6HR79DFL63</v>
      </c>
      <c r="E215" t="s">
        <v>528</v>
      </c>
      <c r="F215" s="1">
        <v>45200</v>
      </c>
      <c r="G215" t="s">
        <v>529</v>
      </c>
      <c r="H215" t="s">
        <v>530</v>
      </c>
      <c r="I215" s="59">
        <f>VLOOKUP(A215,'611'!D:F,3,FALSE)</f>
        <v>31826.93</v>
      </c>
      <c r="J215" s="59">
        <f>VLOOKUP(A215,'611'!D:Q,14,FALSE)</f>
        <v>31826.93</v>
      </c>
      <c r="K215" s="59">
        <f>VLOOKUP(A215,'611'!D:Q,14,FALSE)</f>
        <v>31826.93</v>
      </c>
      <c r="O215" t="s">
        <v>531</v>
      </c>
      <c r="P215">
        <f>_xlfn.IFNA(VLOOKUP(A215,IndirectCost!B:L,11,FALSE),"")</f>
        <v>8</v>
      </c>
      <c r="Q215">
        <f t="shared" si="3"/>
        <v>0.08</v>
      </c>
    </row>
    <row r="216" spans="1:17">
      <c r="A216" t="s">
        <v>187</v>
      </c>
      <c r="B216" t="s">
        <v>783</v>
      </c>
      <c r="C216" t="str">
        <f>VLOOKUP(A216,Districts!A:I,9,FALSE)</f>
        <v>EAGLE South Mountain Charter, Inc.</v>
      </c>
      <c r="D216" t="str">
        <f>VLOOKUP(A216,Districts!A:P,16,FALSE)</f>
        <v>J6N9Y4JTRLC7</v>
      </c>
      <c r="E216" t="s">
        <v>528</v>
      </c>
      <c r="F216" s="1">
        <v>45200</v>
      </c>
      <c r="G216" t="s">
        <v>529</v>
      </c>
      <c r="H216" t="s">
        <v>530</v>
      </c>
      <c r="I216" s="59">
        <f>VLOOKUP(A216,'611'!D:F,3,FALSE)</f>
        <v>72506.69</v>
      </c>
      <c r="J216" s="59">
        <f>VLOOKUP(A216,'611'!D:Q,14,FALSE)</f>
        <v>121558.23</v>
      </c>
      <c r="K216" s="59">
        <f>VLOOKUP(A216,'611'!D:Q,14,FALSE)</f>
        <v>121558.23</v>
      </c>
      <c r="O216" t="s">
        <v>531</v>
      </c>
      <c r="P216">
        <f>_xlfn.IFNA(VLOOKUP(A216,IndirectCost!B:L,11,FALSE),"")</f>
        <v>8</v>
      </c>
      <c r="Q216">
        <f t="shared" si="3"/>
        <v>0.08</v>
      </c>
    </row>
    <row r="217" spans="1:17">
      <c r="A217" t="s">
        <v>188</v>
      </c>
      <c r="B217" t="s">
        <v>784</v>
      </c>
      <c r="C217" t="str">
        <f>VLOOKUP(A217,Districts!A:I,9,FALSE)</f>
        <v>Imagine Schools Inc</v>
      </c>
      <c r="D217" t="str">
        <f>VLOOKUP(A217,Districts!A:P,16,FALSE)</f>
        <v>NHZRQS1CNHS8</v>
      </c>
      <c r="E217" t="s">
        <v>528</v>
      </c>
      <c r="F217" s="1">
        <v>45200</v>
      </c>
      <c r="G217" t="s">
        <v>529</v>
      </c>
      <c r="H217" t="s">
        <v>530</v>
      </c>
      <c r="I217" s="59">
        <f>VLOOKUP(A217,'611'!D:F,3,FALSE)</f>
        <v>113090.62</v>
      </c>
      <c r="J217" s="59">
        <f>VLOOKUP(A217,'611'!D:Q,14,FALSE)</f>
        <v>113090.62</v>
      </c>
      <c r="K217" s="59">
        <f>VLOOKUP(A217,'611'!D:Q,14,FALSE)</f>
        <v>113090.62</v>
      </c>
      <c r="O217" t="s">
        <v>531</v>
      </c>
      <c r="P217" t="str">
        <f>_xlfn.IFNA(VLOOKUP(A217,IndirectCost!B:L,11,FALSE),"")</f>
        <v/>
      </c>
      <c r="Q217">
        <f t="shared" si="3"/>
        <v>0</v>
      </c>
    </row>
    <row r="218" spans="1:17">
      <c r="A218" t="s">
        <v>189</v>
      </c>
      <c r="B218" t="s">
        <v>785</v>
      </c>
      <c r="C218" t="str">
        <f>VLOOKUP(A218,Districts!A:I,9,FALSE)</f>
        <v>Academy Adventures Midtown DBA Ed Ahead</v>
      </c>
      <c r="D218" t="str">
        <f>VLOOKUP(A218,Districts!A:P,16,FALSE)</f>
        <v>RTSSHMKLUK26</v>
      </c>
      <c r="E218" t="s">
        <v>528</v>
      </c>
      <c r="F218" s="1">
        <v>45200</v>
      </c>
      <c r="G218" t="s">
        <v>529</v>
      </c>
      <c r="H218" t="s">
        <v>530</v>
      </c>
      <c r="I218" s="59">
        <f>VLOOKUP(A218,'611'!D:F,3,FALSE)</f>
        <v>4955.32</v>
      </c>
      <c r="J218" s="59">
        <f>VLOOKUP(A218,'611'!D:Q,14,FALSE)</f>
        <v>0</v>
      </c>
      <c r="K218" s="59">
        <f>VLOOKUP(A218,'611'!D:Q,14,FALSE)</f>
        <v>0</v>
      </c>
      <c r="O218" t="s">
        <v>531</v>
      </c>
      <c r="P218" t="str">
        <f>_xlfn.IFNA(VLOOKUP(A218,IndirectCost!B:L,11,FALSE),"")</f>
        <v/>
      </c>
      <c r="Q218">
        <f t="shared" si="3"/>
        <v>0</v>
      </c>
    </row>
    <row r="219" spans="1:17">
      <c r="A219" t="s">
        <v>786</v>
      </c>
      <c r="B219" t="s">
        <v>787</v>
      </c>
      <c r="C219" t="str">
        <f>VLOOKUP(A219,Districts!A:I,9,FALSE)</f>
        <v>EDGE SCHOOL INC, THE</v>
      </c>
      <c r="D219" t="str">
        <f>VLOOKUP(A219,Districts!A:P,16,FALSE)</f>
        <v>JT47LX5BN2T6</v>
      </c>
      <c r="E219" t="s">
        <v>528</v>
      </c>
      <c r="F219" s="1">
        <v>45200</v>
      </c>
      <c r="G219" t="s">
        <v>529</v>
      </c>
      <c r="H219" t="s">
        <v>530</v>
      </c>
      <c r="I219" s="59">
        <f>VLOOKUP(A219,'611'!D:F,3,FALSE)</f>
        <v>28763.39</v>
      </c>
      <c r="J219" s="59">
        <f>VLOOKUP(A219,'611'!D:Q,14,FALSE)</f>
        <v>28825.79</v>
      </c>
      <c r="K219" s="59">
        <f>VLOOKUP(A219,'611'!D:Q,14,FALSE)</f>
        <v>28825.79</v>
      </c>
      <c r="O219" t="s">
        <v>531</v>
      </c>
      <c r="P219">
        <f>_xlfn.IFNA(VLOOKUP(A219,IndirectCost!B:L,11,FALSE),"")</f>
        <v>8</v>
      </c>
      <c r="Q219">
        <f t="shared" si="3"/>
        <v>0.08</v>
      </c>
    </row>
    <row r="220" spans="1:17">
      <c r="A220" t="s">
        <v>190</v>
      </c>
      <c r="B220" t="s">
        <v>788</v>
      </c>
      <c r="C220" t="str">
        <f>VLOOKUP(A220,Districts!A:I,9,FALSE)</f>
        <v>Edison Project</v>
      </c>
      <c r="D220" t="str">
        <f>VLOOKUP(A220,Districts!A:P,16,FALSE)</f>
        <v>VAH8MUDN1D43</v>
      </c>
      <c r="E220" t="s">
        <v>528</v>
      </c>
      <c r="F220" s="1">
        <v>45200</v>
      </c>
      <c r="G220" t="s">
        <v>529</v>
      </c>
      <c r="H220" t="s">
        <v>530</v>
      </c>
      <c r="I220" s="59">
        <f>VLOOKUP(A220,'611'!D:F,3,FALSE)</f>
        <v>44723.34</v>
      </c>
      <c r="J220" s="59">
        <f>VLOOKUP(A220,'611'!D:Q,14,FALSE)</f>
        <v>44723.34</v>
      </c>
      <c r="K220" s="59">
        <f>VLOOKUP(A220,'611'!D:Q,14,FALSE)</f>
        <v>44723.34</v>
      </c>
      <c r="O220" t="s">
        <v>531</v>
      </c>
      <c r="P220" t="str">
        <f>_xlfn.IFNA(VLOOKUP(A220,IndirectCost!B:L,11,FALSE),"")</f>
        <v/>
      </c>
      <c r="Q220">
        <f t="shared" si="3"/>
        <v>0</v>
      </c>
    </row>
    <row r="221" spans="1:17">
      <c r="A221" t="s">
        <v>191</v>
      </c>
      <c r="B221" t="s">
        <v>789</v>
      </c>
      <c r="C221" t="str">
        <f>VLOOKUP(A221,Districts!A:I,9,FALSE)</f>
        <v>Edkey, Inc. American Heritage Academy</v>
      </c>
      <c r="D221" t="str">
        <f>VLOOKUP(A221,Districts!A:P,16,FALSE)</f>
        <v>W9FNP2MEYJL5</v>
      </c>
      <c r="E221" t="s">
        <v>528</v>
      </c>
      <c r="F221" s="1">
        <v>45200</v>
      </c>
      <c r="G221" t="s">
        <v>529</v>
      </c>
      <c r="H221" t="s">
        <v>530</v>
      </c>
      <c r="I221" s="59">
        <f>VLOOKUP(A221,'611'!D:F,3,FALSE)</f>
        <v>57003.89</v>
      </c>
      <c r="J221" s="59">
        <f>VLOOKUP(A221,'611'!D:Q,14,FALSE)</f>
        <v>57017.55</v>
      </c>
      <c r="K221" s="59">
        <f>VLOOKUP(A221,'611'!D:Q,14,FALSE)</f>
        <v>57017.55</v>
      </c>
      <c r="O221" t="s">
        <v>531</v>
      </c>
      <c r="P221" t="str">
        <f>_xlfn.IFNA(VLOOKUP(A221,IndirectCost!B:L,11,FALSE),"")</f>
        <v/>
      </c>
      <c r="Q221">
        <f t="shared" si="3"/>
        <v>0</v>
      </c>
    </row>
    <row r="222" spans="1:17">
      <c r="A222" t="s">
        <v>790</v>
      </c>
      <c r="B222" t="s">
        <v>791</v>
      </c>
      <c r="C222" t="str">
        <f>VLOOKUP(A222,Districts!A:I,9,FALSE)</f>
        <v>Edkey, Inc. Arizona Conservatory for Arts and Academics Elementary School</v>
      </c>
      <c r="D222" t="str">
        <f>VLOOKUP(A222,Districts!A:P,16,FALSE)</f>
        <v>ZJWTERMDB123</v>
      </c>
      <c r="E222" t="s">
        <v>528</v>
      </c>
      <c r="F222" s="1">
        <v>45200</v>
      </c>
      <c r="G222" t="s">
        <v>529</v>
      </c>
      <c r="H222" t="s">
        <v>530</v>
      </c>
      <c r="I222" s="59">
        <f>VLOOKUP(A222,'611'!D:F,3,FALSE)</f>
        <v>53385.22</v>
      </c>
      <c r="J222" s="59">
        <f>VLOOKUP(A222,'611'!D:Q,14,FALSE)</f>
        <v>64276.55</v>
      </c>
      <c r="K222" s="59">
        <f>VLOOKUP(A222,'611'!D:Q,14,FALSE)</f>
        <v>64276.55</v>
      </c>
      <c r="O222" t="s">
        <v>531</v>
      </c>
      <c r="P222" t="str">
        <f>_xlfn.IFNA(VLOOKUP(A222,IndirectCost!B:L,11,FALSE),"")</f>
        <v/>
      </c>
      <c r="Q222">
        <f t="shared" si="3"/>
        <v>0</v>
      </c>
    </row>
    <row r="223" spans="1:17">
      <c r="A223" t="s">
        <v>192</v>
      </c>
      <c r="B223" t="s">
        <v>792</v>
      </c>
      <c r="C223" t="str">
        <f>VLOOKUP(A223,Districts!A:I,9,FALSE)</f>
        <v>Edkey, Inc.</v>
      </c>
      <c r="D223" t="str">
        <f>VLOOKUP(A223,Districts!A:P,16,FALSE)</f>
        <v>K2Y2LJ5K7GQ8</v>
      </c>
      <c r="E223" t="s">
        <v>528</v>
      </c>
      <c r="F223" s="1">
        <v>45200</v>
      </c>
      <c r="G223" t="s">
        <v>529</v>
      </c>
      <c r="H223" t="s">
        <v>530</v>
      </c>
      <c r="I223" s="59">
        <f>VLOOKUP(A223,'611'!D:F,3,FALSE)</f>
        <v>141254.04</v>
      </c>
      <c r="J223" s="59">
        <f>VLOOKUP(A223,'611'!D:Q,14,FALSE)</f>
        <v>141254.04</v>
      </c>
      <c r="K223" s="59">
        <f>VLOOKUP(A223,'611'!D:Q,14,FALSE)</f>
        <v>141254.04</v>
      </c>
      <c r="O223" t="s">
        <v>531</v>
      </c>
      <c r="P223" t="str">
        <f>_xlfn.IFNA(VLOOKUP(A223,IndirectCost!B:L,11,FALSE),"")</f>
        <v/>
      </c>
      <c r="Q223">
        <f t="shared" si="3"/>
        <v>0</v>
      </c>
    </row>
    <row r="224" spans="1:17">
      <c r="A224" t="s">
        <v>193</v>
      </c>
      <c r="B224" t="s">
        <v>793</v>
      </c>
      <c r="C224" t="str">
        <f>VLOOKUP(A224,Districts!A:I,9,FALSE)</f>
        <v>Edkey, Inc.</v>
      </c>
      <c r="D224" t="str">
        <f>VLOOKUP(A224,Districts!A:P,16,FALSE)</f>
        <v>J299YYJK6425</v>
      </c>
      <c r="E224" t="s">
        <v>528</v>
      </c>
      <c r="F224" s="1">
        <v>45200</v>
      </c>
      <c r="G224" t="s">
        <v>529</v>
      </c>
      <c r="H224" t="s">
        <v>530</v>
      </c>
      <c r="I224" s="59">
        <f>VLOOKUP(A224,'611'!D:F,3,FALSE)</f>
        <v>34895.050000000003</v>
      </c>
      <c r="J224" s="59">
        <f>VLOOKUP(A224,'611'!D:Q,14,FALSE)</f>
        <v>35492.22</v>
      </c>
      <c r="K224" s="59">
        <f>VLOOKUP(A224,'611'!D:Q,14,FALSE)</f>
        <v>35492.22</v>
      </c>
      <c r="O224" t="s">
        <v>531</v>
      </c>
      <c r="P224" t="str">
        <f>_xlfn.IFNA(VLOOKUP(A224,IndirectCost!B:L,11,FALSE),"")</f>
        <v/>
      </c>
      <c r="Q224">
        <f t="shared" si="3"/>
        <v>0</v>
      </c>
    </row>
    <row r="225" spans="1:17">
      <c r="A225" t="s">
        <v>194</v>
      </c>
      <c r="B225" t="s">
        <v>794</v>
      </c>
      <c r="C225" t="str">
        <f>VLOOKUP(A225,Districts!A:I,9,FALSE)</f>
        <v>Edkey, Inc.</v>
      </c>
      <c r="D225" t="str">
        <f>VLOOKUP(A225,Districts!A:P,16,FALSE)</f>
        <v>HR3LM14Z6EN4</v>
      </c>
      <c r="E225" t="s">
        <v>528</v>
      </c>
      <c r="F225" s="1">
        <v>45200</v>
      </c>
      <c r="G225" t="s">
        <v>529</v>
      </c>
      <c r="H225" t="s">
        <v>530</v>
      </c>
      <c r="I225" s="59">
        <f>VLOOKUP(A225,'611'!D:F,3,FALSE)</f>
        <v>146356.70000000001</v>
      </c>
      <c r="J225" s="59">
        <f>VLOOKUP(A225,'611'!D:Q,14,FALSE)</f>
        <v>146356.70000000001</v>
      </c>
      <c r="K225" s="59">
        <f>VLOOKUP(A225,'611'!D:Q,14,FALSE)</f>
        <v>146356.70000000001</v>
      </c>
      <c r="O225" t="s">
        <v>531</v>
      </c>
      <c r="P225" t="str">
        <f>_xlfn.IFNA(VLOOKUP(A225,IndirectCost!B:L,11,FALSE),"")</f>
        <v/>
      </c>
      <c r="Q225">
        <f t="shared" si="3"/>
        <v>0</v>
      </c>
    </row>
    <row r="226" spans="1:17">
      <c r="A226" t="s">
        <v>195</v>
      </c>
      <c r="B226" t="s">
        <v>795</v>
      </c>
      <c r="C226" t="str">
        <f>VLOOKUP(A226,Districts!A:I,9,FALSE)</f>
        <v>Edkey, Inc.</v>
      </c>
      <c r="D226" t="str">
        <f>VLOOKUP(A226,Districts!A:P,16,FALSE)</f>
        <v>VN5GRJGAAXJ4</v>
      </c>
      <c r="E226" t="s">
        <v>528</v>
      </c>
      <c r="F226" s="1">
        <v>45200</v>
      </c>
      <c r="G226" t="s">
        <v>529</v>
      </c>
      <c r="H226" t="s">
        <v>530</v>
      </c>
      <c r="I226" s="59">
        <f>VLOOKUP(A226,'611'!D:F,3,FALSE)</f>
        <v>521178.08</v>
      </c>
      <c r="J226" s="59">
        <f>VLOOKUP(A226,'611'!D:Q,14,FALSE)</f>
        <v>521317.26</v>
      </c>
      <c r="K226" s="59">
        <f>VLOOKUP(A226,'611'!D:Q,14,FALSE)</f>
        <v>521317.26</v>
      </c>
      <c r="O226" t="s">
        <v>531</v>
      </c>
      <c r="P226" t="str">
        <f>_xlfn.IFNA(VLOOKUP(A226,IndirectCost!B:L,11,FALSE),"")</f>
        <v/>
      </c>
      <c r="Q226">
        <f t="shared" si="3"/>
        <v>0</v>
      </c>
    </row>
    <row r="227" spans="1:17">
      <c r="A227" t="s">
        <v>196</v>
      </c>
      <c r="B227" t="s">
        <v>796</v>
      </c>
      <c r="C227" t="str">
        <f>VLOOKUP(A227,Districts!A:I,9,FALSE)</f>
        <v>Edky, Inc.</v>
      </c>
      <c r="D227" t="str">
        <f>VLOOKUP(A227,Districts!A:P,16,FALSE)</f>
        <v>ENJNZ76ENKC9</v>
      </c>
      <c r="E227" t="s">
        <v>528</v>
      </c>
      <c r="F227" s="1">
        <v>45200</v>
      </c>
      <c r="G227" t="s">
        <v>529</v>
      </c>
      <c r="H227" t="s">
        <v>530</v>
      </c>
      <c r="I227" s="59">
        <f>VLOOKUP(A227,'611'!D:F,3,FALSE)</f>
        <v>132381.74</v>
      </c>
      <c r="J227" s="59">
        <f>VLOOKUP(A227,'611'!D:Q,14,FALSE)</f>
        <v>172040.92</v>
      </c>
      <c r="K227" s="59">
        <f>VLOOKUP(A227,'611'!D:Q,14,FALSE)</f>
        <v>172040.92</v>
      </c>
      <c r="O227" t="s">
        <v>531</v>
      </c>
      <c r="P227" t="str">
        <f>_xlfn.IFNA(VLOOKUP(A227,IndirectCost!B:L,11,FALSE),"")</f>
        <v/>
      </c>
      <c r="Q227">
        <f t="shared" si="3"/>
        <v>0</v>
      </c>
    </row>
    <row r="228" spans="1:17">
      <c r="A228" t="s">
        <v>197</v>
      </c>
      <c r="B228" t="s">
        <v>797</v>
      </c>
      <c r="C228" t="str">
        <f>VLOOKUP(A228,Districts!A:I,9,FALSE)</f>
        <v>Edkey, Inc. Children First Leadership Academy</v>
      </c>
      <c r="D228" t="str">
        <f>VLOOKUP(A228,Districts!A:P,16,FALSE)</f>
        <v>D8YUW47K8Z18</v>
      </c>
      <c r="E228" t="s">
        <v>528</v>
      </c>
      <c r="F228" s="1">
        <v>45200</v>
      </c>
      <c r="G228" t="s">
        <v>529</v>
      </c>
      <c r="H228" t="s">
        <v>530</v>
      </c>
      <c r="I228" s="59">
        <f>VLOOKUP(A228,'611'!D:F,3,FALSE)</f>
        <v>18055.900000000001</v>
      </c>
      <c r="J228" s="59">
        <f>VLOOKUP(A228,'611'!D:Q,14,FALSE)</f>
        <v>18324.580000000002</v>
      </c>
      <c r="K228" s="59">
        <f>VLOOKUP(A228,'611'!D:Q,14,FALSE)</f>
        <v>18324.580000000002</v>
      </c>
      <c r="O228" t="s">
        <v>531</v>
      </c>
      <c r="P228" t="str">
        <f>_xlfn.IFNA(VLOOKUP(A228,IndirectCost!B:L,11,FALSE),"")</f>
        <v/>
      </c>
      <c r="Q228">
        <f t="shared" si="3"/>
        <v>0</v>
      </c>
    </row>
    <row r="229" spans="1:17">
      <c r="A229" t="s">
        <v>198</v>
      </c>
      <c r="B229" t="s">
        <v>798</v>
      </c>
      <c r="C229" t="str">
        <f>VLOOKUP(A229,Districts!A:I,9,FALSE)</f>
        <v>Edkey, Inc.</v>
      </c>
      <c r="D229" t="str">
        <f>VLOOKUP(A229,Districts!A:P,16,FALSE)</f>
        <v>D5CJR2NH5RQ6</v>
      </c>
      <c r="E229" t="s">
        <v>528</v>
      </c>
      <c r="F229" s="1">
        <v>45200</v>
      </c>
      <c r="G229" t="s">
        <v>529</v>
      </c>
      <c r="H229" t="s">
        <v>530</v>
      </c>
      <c r="I229" s="59">
        <f>VLOOKUP(A229,'611'!D:F,3,FALSE)</f>
        <v>26709.91</v>
      </c>
      <c r="J229" s="59">
        <f>VLOOKUP(A229,'611'!D:Q,14,FALSE)</f>
        <v>29583.77</v>
      </c>
      <c r="K229" s="59">
        <f>VLOOKUP(A229,'611'!D:Q,14,FALSE)</f>
        <v>29583.77</v>
      </c>
      <c r="O229" t="s">
        <v>531</v>
      </c>
      <c r="P229" t="str">
        <f>_xlfn.IFNA(VLOOKUP(A229,IndirectCost!B:L,11,FALSE),"")</f>
        <v/>
      </c>
      <c r="Q229">
        <f t="shared" si="3"/>
        <v>0</v>
      </c>
    </row>
    <row r="230" spans="1:17">
      <c r="A230" t="s">
        <v>199</v>
      </c>
      <c r="B230" t="s">
        <v>799</v>
      </c>
      <c r="C230" t="str">
        <f>VLOOKUP(A230,Districts!A:I,9,FALSE)</f>
        <v>Edkey, Inc. Sequoia Village School</v>
      </c>
      <c r="D230" t="str">
        <f>VLOOKUP(A230,Districts!A:P,16,FALSE)</f>
        <v>L2FQYDTEZ383</v>
      </c>
      <c r="E230" t="s">
        <v>528</v>
      </c>
      <c r="F230" s="1">
        <v>45200</v>
      </c>
      <c r="G230" t="s">
        <v>529</v>
      </c>
      <c r="H230" t="s">
        <v>530</v>
      </c>
      <c r="I230" s="59">
        <f>VLOOKUP(A230,'611'!D:F,3,FALSE)</f>
        <v>78032.25</v>
      </c>
      <c r="J230" s="59">
        <f>VLOOKUP(A230,'611'!D:Q,14,FALSE)</f>
        <v>79247.16</v>
      </c>
      <c r="K230" s="59">
        <f>VLOOKUP(A230,'611'!D:Q,14,FALSE)</f>
        <v>79247.16</v>
      </c>
      <c r="O230" t="s">
        <v>531</v>
      </c>
      <c r="P230" t="str">
        <f>_xlfn.IFNA(VLOOKUP(A230,IndirectCost!B:L,11,FALSE),"")</f>
        <v/>
      </c>
      <c r="Q230">
        <f t="shared" si="3"/>
        <v>0</v>
      </c>
    </row>
    <row r="231" spans="1:17">
      <c r="A231" t="s">
        <v>200</v>
      </c>
      <c r="B231" t="s">
        <v>800</v>
      </c>
      <c r="C231" t="str">
        <f>VLOOKUP(A231,Districts!A:I,9,FALSE)</f>
        <v>Educational Impact, Inc.</v>
      </c>
      <c r="D231" t="str">
        <f>VLOOKUP(A231,Districts!A:P,16,FALSE)</f>
        <v>KZ8NBYE89ZV3</v>
      </c>
      <c r="E231" t="s">
        <v>528</v>
      </c>
      <c r="F231" s="1">
        <v>45200</v>
      </c>
      <c r="G231" t="s">
        <v>529</v>
      </c>
      <c r="H231" t="s">
        <v>530</v>
      </c>
      <c r="I231" s="59">
        <f>VLOOKUP(A231,'611'!D:F,3,FALSE)</f>
        <v>17507.240000000002</v>
      </c>
      <c r="J231" s="59">
        <f>VLOOKUP(A231,'611'!D:Q,14,FALSE)</f>
        <v>0</v>
      </c>
      <c r="K231" s="59">
        <f>VLOOKUP(A231,'611'!D:Q,14,FALSE)</f>
        <v>0</v>
      </c>
      <c r="O231" t="s">
        <v>531</v>
      </c>
      <c r="P231" t="str">
        <f>_xlfn.IFNA(VLOOKUP(A231,IndirectCost!B:L,11,FALSE),"")</f>
        <v/>
      </c>
      <c r="Q231">
        <f t="shared" si="3"/>
        <v>0</v>
      </c>
    </row>
    <row r="232" spans="1:17">
      <c r="A232" t="s">
        <v>801</v>
      </c>
      <c r="B232" t="s">
        <v>802</v>
      </c>
      <c r="C232" t="str">
        <f>VLOOKUP(A232,Districts!A:I,9,FALSE)</f>
        <v>Educational Options Foundation DBA EdOptions Preparatory Academy</v>
      </c>
      <c r="D232" t="str">
        <f>VLOOKUP(A232,Districts!A:P,16,FALSE)</f>
        <v>F4EPA5Q8YTX1</v>
      </c>
      <c r="E232" t="s">
        <v>528</v>
      </c>
      <c r="F232" s="1">
        <v>45200</v>
      </c>
      <c r="G232" t="s">
        <v>529</v>
      </c>
      <c r="H232" t="s">
        <v>530</v>
      </c>
      <c r="I232" s="59">
        <f>VLOOKUP(A232,'611'!D:F,3,FALSE)</f>
        <v>81385.710000000006</v>
      </c>
      <c r="J232" s="59">
        <f>VLOOKUP(A232,'611'!D:Q,14,FALSE)</f>
        <v>81531.509999999995</v>
      </c>
      <c r="K232" s="59">
        <f>VLOOKUP(A232,'611'!D:Q,14,FALSE)</f>
        <v>81531.509999999995</v>
      </c>
      <c r="O232" t="s">
        <v>531</v>
      </c>
      <c r="P232">
        <f>_xlfn.IFNA(VLOOKUP(A232,IndirectCost!B:L,11,FALSE),"")</f>
        <v>8</v>
      </c>
      <c r="Q232">
        <f t="shared" si="3"/>
        <v>0.08</v>
      </c>
    </row>
    <row r="233" spans="1:17">
      <c r="A233" t="s">
        <v>201</v>
      </c>
      <c r="B233" t="s">
        <v>803</v>
      </c>
      <c r="C233" t="str">
        <f>VLOOKUP(A233,Districts!A:I,9,FALSE)</f>
        <v>Elfrida Elementary School District</v>
      </c>
      <c r="D233" t="str">
        <f>VLOOKUP(A233,Districts!A:P,16,FALSE)</f>
        <v>HJW6JEZ4FNY5</v>
      </c>
      <c r="E233" t="s">
        <v>528</v>
      </c>
      <c r="F233" s="1">
        <v>45200</v>
      </c>
      <c r="G233" t="s">
        <v>529</v>
      </c>
      <c r="H233" t="s">
        <v>530</v>
      </c>
      <c r="I233" s="59">
        <f>VLOOKUP(A233,'611'!D:F,3,FALSE)</f>
        <v>28359.119999999999</v>
      </c>
      <c r="J233" s="59">
        <f>VLOOKUP(A233,'611'!D:Q,14,FALSE)</f>
        <v>28359.119999999999</v>
      </c>
      <c r="K233" s="59">
        <f>VLOOKUP(A233,'611'!D:Q,14,FALSE)</f>
        <v>28359.119999999999</v>
      </c>
      <c r="O233" t="s">
        <v>531</v>
      </c>
      <c r="P233" t="str">
        <f>_xlfn.IFNA(VLOOKUP(A233,IndirectCost!B:L,11,FALSE),"")</f>
        <v/>
      </c>
      <c r="Q233">
        <f t="shared" si="3"/>
        <v>0</v>
      </c>
    </row>
    <row r="234" spans="1:17">
      <c r="A234" t="s">
        <v>202</v>
      </c>
      <c r="B234" t="s">
        <v>804</v>
      </c>
      <c r="C234" t="str">
        <f>VLOOKUP(A234,Districts!A:I,9,FALSE)</f>
        <v>Eloy Elementary School District #11</v>
      </c>
      <c r="D234" t="str">
        <f>VLOOKUP(A234,Districts!A:P,16,FALSE)</f>
        <v>E1YNLJTJ4LB7</v>
      </c>
      <c r="E234" t="s">
        <v>528</v>
      </c>
      <c r="F234" s="1">
        <v>45200</v>
      </c>
      <c r="G234" t="s">
        <v>529</v>
      </c>
      <c r="H234" t="s">
        <v>530</v>
      </c>
      <c r="I234" s="59">
        <f>VLOOKUP(A234,'611'!D:F,3,FALSE)</f>
        <v>198231.87</v>
      </c>
      <c r="J234" s="59">
        <f>VLOOKUP(A234,'611'!D:Q,14,FALSE)</f>
        <v>292650.23</v>
      </c>
      <c r="K234" s="59">
        <f>VLOOKUP(A234,'611'!D:Q,14,FALSE)</f>
        <v>292650.23</v>
      </c>
      <c r="O234" t="s">
        <v>531</v>
      </c>
      <c r="P234">
        <f>_xlfn.IFNA(VLOOKUP(A234,IndirectCost!B:L,11,FALSE),"")</f>
        <v>8</v>
      </c>
      <c r="Q234">
        <f t="shared" si="3"/>
        <v>0.08</v>
      </c>
    </row>
    <row r="235" spans="1:17">
      <c r="A235" t="s">
        <v>203</v>
      </c>
      <c r="B235" t="s">
        <v>805</v>
      </c>
      <c r="C235" t="str">
        <f>VLOOKUP(A235,Districts!A:I,9,FALSE)</f>
        <v>Empower College Prep</v>
      </c>
      <c r="D235" t="str">
        <f>VLOOKUP(A235,Districts!A:P,16,FALSE)</f>
        <v>JRUMNXR7VXS4</v>
      </c>
      <c r="E235" t="s">
        <v>528</v>
      </c>
      <c r="F235" s="1">
        <v>45200</v>
      </c>
      <c r="G235" t="s">
        <v>529</v>
      </c>
      <c r="H235" t="s">
        <v>530</v>
      </c>
      <c r="I235" s="59">
        <f>VLOOKUP(A235,'611'!D:F,3,FALSE)</f>
        <v>181996.69</v>
      </c>
      <c r="J235" s="59">
        <f>VLOOKUP(A235,'611'!D:Q,14,FALSE)</f>
        <v>181996.69</v>
      </c>
      <c r="K235" s="59">
        <f>VLOOKUP(A235,'611'!D:Q,14,FALSE)</f>
        <v>181996.69</v>
      </c>
      <c r="O235" t="s">
        <v>531</v>
      </c>
      <c r="P235">
        <f>_xlfn.IFNA(VLOOKUP(A235,IndirectCost!B:L,11,FALSE),"")</f>
        <v>8</v>
      </c>
      <c r="Q235">
        <f t="shared" si="3"/>
        <v>0.08</v>
      </c>
    </row>
    <row r="236" spans="1:17">
      <c r="A236" t="s">
        <v>806</v>
      </c>
      <c r="B236" t="s">
        <v>807</v>
      </c>
      <c r="C236" t="str">
        <f>VLOOKUP(A236,Districts!A:I,9,FALSE)</f>
        <v>Espiritu Community Development Corp</v>
      </c>
      <c r="D236" t="str">
        <f>VLOOKUP(A236,Districts!A:P,16,FALSE)</f>
        <v>KL7NFS8W8E33</v>
      </c>
      <c r="E236" t="s">
        <v>528</v>
      </c>
      <c r="F236" s="1">
        <v>45200</v>
      </c>
      <c r="G236" t="s">
        <v>529</v>
      </c>
      <c r="H236" t="s">
        <v>530</v>
      </c>
      <c r="I236" s="59">
        <f>VLOOKUP(A236,'611'!D:F,3,FALSE)</f>
        <v>56343.64</v>
      </c>
      <c r="J236" s="59">
        <f>VLOOKUP(A236,'611'!D:Q,14,FALSE)</f>
        <v>82052.81</v>
      </c>
      <c r="K236" s="59">
        <f>VLOOKUP(A236,'611'!D:Q,14,FALSE)</f>
        <v>82052.81</v>
      </c>
      <c r="O236" t="s">
        <v>531</v>
      </c>
      <c r="P236" t="str">
        <f>_xlfn.IFNA(VLOOKUP(A236,IndirectCost!B:L,11,FALSE),"")</f>
        <v/>
      </c>
      <c r="Q236">
        <f t="shared" si="3"/>
        <v>0</v>
      </c>
    </row>
    <row r="237" spans="1:17">
      <c r="A237" t="s">
        <v>204</v>
      </c>
      <c r="B237" t="s">
        <v>807</v>
      </c>
      <c r="C237" t="str">
        <f>VLOOKUP(A237,Districts!A:I,9,FALSE)</f>
        <v>Espiritu Community Development Corp</v>
      </c>
      <c r="D237" t="str">
        <f>VLOOKUP(A237,Districts!A:P,16,FALSE)</f>
        <v>KL7NFS8W8E33</v>
      </c>
      <c r="E237" t="s">
        <v>528</v>
      </c>
      <c r="F237" s="1">
        <v>45200</v>
      </c>
      <c r="G237" t="s">
        <v>529</v>
      </c>
      <c r="H237" t="s">
        <v>530</v>
      </c>
      <c r="I237" s="59">
        <f>VLOOKUP(A237,'611'!D:F,3,FALSE)</f>
        <v>73182.559999999998</v>
      </c>
      <c r="J237" s="59">
        <f>VLOOKUP(A237,'611'!D:Q,14,FALSE)</f>
        <v>100075.2</v>
      </c>
      <c r="K237" s="59">
        <f>VLOOKUP(A237,'611'!D:Q,14,FALSE)</f>
        <v>100075.2</v>
      </c>
      <c r="O237" t="s">
        <v>531</v>
      </c>
      <c r="P237" t="str">
        <f>_xlfn.IFNA(VLOOKUP(A237,IndirectCost!B:L,11,FALSE),"")</f>
        <v/>
      </c>
      <c r="Q237">
        <f t="shared" si="3"/>
        <v>0</v>
      </c>
    </row>
    <row r="238" spans="1:17">
      <c r="A238" t="s">
        <v>808</v>
      </c>
      <c r="B238" t="s">
        <v>809</v>
      </c>
      <c r="C238" t="str">
        <f>VLOOKUP(A238,Districts!A:I,9,FALSE)</f>
        <v>Espiritu Schools</v>
      </c>
      <c r="D238" t="str">
        <f>VLOOKUP(A238,Districts!A:P,16,FALSE)</f>
        <v>NLH4N862U6C5</v>
      </c>
      <c r="E238" t="s">
        <v>528</v>
      </c>
      <c r="F238" s="1">
        <v>45200</v>
      </c>
      <c r="G238" t="s">
        <v>529</v>
      </c>
      <c r="H238" t="s">
        <v>530</v>
      </c>
      <c r="I238" s="59">
        <f>VLOOKUP(A238,'611'!D:F,3,FALSE)</f>
        <v>12304.71</v>
      </c>
      <c r="J238" s="59">
        <f>VLOOKUP(A238,'611'!D:Q,14,FALSE)</f>
        <v>12304.71</v>
      </c>
      <c r="K238" s="59">
        <f>VLOOKUP(A238,'611'!D:Q,14,FALSE)</f>
        <v>12304.71</v>
      </c>
      <c r="O238" t="s">
        <v>531</v>
      </c>
      <c r="P238" t="str">
        <f>_xlfn.IFNA(VLOOKUP(A238,IndirectCost!B:L,11,FALSE),"")</f>
        <v/>
      </c>
      <c r="Q238">
        <f t="shared" si="3"/>
        <v>0</v>
      </c>
    </row>
    <row r="239" spans="1:17">
      <c r="A239" t="s">
        <v>810</v>
      </c>
      <c r="B239" t="s">
        <v>811</v>
      </c>
      <c r="C239" t="str">
        <f>VLOOKUP(A239,Districts!A:I,9,FALSE)</f>
        <v>Estrella Educational Foundation</v>
      </c>
      <c r="D239" t="str">
        <f>VLOOKUP(A239,Districts!A:P,16,FALSE)</f>
        <v>JTNNA4MDMRB8</v>
      </c>
      <c r="E239" t="s">
        <v>528</v>
      </c>
      <c r="F239" s="1">
        <v>45200</v>
      </c>
      <c r="G239" t="s">
        <v>529</v>
      </c>
      <c r="H239" t="s">
        <v>530</v>
      </c>
      <c r="I239" s="59">
        <f>VLOOKUP(A239,'611'!D:F,3,FALSE)</f>
        <v>52321.24</v>
      </c>
      <c r="J239" s="59">
        <f>VLOOKUP(A239,'611'!D:Q,14,FALSE)</f>
        <v>74423.850000000006</v>
      </c>
      <c r="K239" s="59">
        <f>VLOOKUP(A239,'611'!D:Q,14,FALSE)</f>
        <v>74423.850000000006</v>
      </c>
      <c r="O239" t="s">
        <v>531</v>
      </c>
      <c r="P239">
        <f>_xlfn.IFNA(VLOOKUP(A239,IndirectCost!B:L,11,FALSE),"")</f>
        <v>8</v>
      </c>
      <c r="Q239">
        <f t="shared" si="3"/>
        <v>0.08</v>
      </c>
    </row>
    <row r="240" spans="1:17">
      <c r="A240" t="s">
        <v>205</v>
      </c>
      <c r="B240" t="s">
        <v>812</v>
      </c>
      <c r="C240" t="str">
        <f>VLOOKUP(A240,Districts!A:I,9,FALSE)</f>
        <v>Ethos Academy A Challenge Foundation Academy, Inc</v>
      </c>
      <c r="D240" t="str">
        <f>VLOOKUP(A240,Districts!A:P,16,FALSE)</f>
        <v>TK19DZXX5AC1</v>
      </c>
      <c r="E240" t="s">
        <v>528</v>
      </c>
      <c r="F240" s="1">
        <v>45200</v>
      </c>
      <c r="G240" t="s">
        <v>529</v>
      </c>
      <c r="H240" t="s">
        <v>530</v>
      </c>
      <c r="I240" s="59">
        <f>VLOOKUP(A240,'611'!D:F,3,FALSE)</f>
        <v>60974.15</v>
      </c>
      <c r="J240" s="59">
        <f>VLOOKUP(A240,'611'!D:Q,14,FALSE)</f>
        <v>65798.990000000005</v>
      </c>
      <c r="K240" s="59">
        <f>VLOOKUP(A240,'611'!D:Q,14,FALSE)</f>
        <v>65798.990000000005</v>
      </c>
      <c r="O240" t="s">
        <v>531</v>
      </c>
      <c r="P240" t="str">
        <f>_xlfn.IFNA(VLOOKUP(A240,IndirectCost!B:L,11,FALSE),"")</f>
        <v/>
      </c>
      <c r="Q240">
        <f t="shared" si="3"/>
        <v>0</v>
      </c>
    </row>
    <row r="241" spans="1:17">
      <c r="A241" t="s">
        <v>206</v>
      </c>
      <c r="B241" t="s">
        <v>813</v>
      </c>
      <c r="C241" t="str">
        <f>VLOOKUP(A241,Districts!A:I,9,FALSE)</f>
        <v>Excalibur Charter Schools, Inc.</v>
      </c>
      <c r="D241" t="str">
        <f>VLOOKUP(A241,Districts!A:P,16,FALSE)</f>
        <v>JYBMAB7LNJN1</v>
      </c>
      <c r="E241" t="s">
        <v>528</v>
      </c>
      <c r="F241" s="1">
        <v>45200</v>
      </c>
      <c r="G241" t="s">
        <v>529</v>
      </c>
      <c r="H241" t="s">
        <v>530</v>
      </c>
      <c r="I241" s="59">
        <f>VLOOKUP(A241,'611'!D:F,3,FALSE)</f>
        <v>62795.24</v>
      </c>
      <c r="J241" s="59">
        <f>VLOOKUP(A241,'611'!D:Q,14,FALSE)</f>
        <v>62795.24</v>
      </c>
      <c r="K241" s="59">
        <f>VLOOKUP(A241,'611'!D:Q,14,FALSE)</f>
        <v>62795.24</v>
      </c>
      <c r="O241" t="s">
        <v>531</v>
      </c>
      <c r="P241" t="str">
        <f>_xlfn.IFNA(VLOOKUP(A241,IndirectCost!B:L,11,FALSE),"")</f>
        <v/>
      </c>
      <c r="Q241">
        <f t="shared" si="3"/>
        <v>0</v>
      </c>
    </row>
    <row r="242" spans="1:17">
      <c r="A242" t="s">
        <v>207</v>
      </c>
      <c r="B242" t="s">
        <v>814</v>
      </c>
      <c r="C242" t="str">
        <f>VLOOKUP(A242,Districts!A:I,9,FALSE)</f>
        <v>FIT KIDS, INC.</v>
      </c>
      <c r="D242" t="str">
        <f>VLOOKUP(A242,Districts!A:P,16,FALSE)</f>
        <v>TLPJVESB4J79</v>
      </c>
      <c r="E242" t="s">
        <v>528</v>
      </c>
      <c r="F242" s="1">
        <v>45200</v>
      </c>
      <c r="G242" t="s">
        <v>529</v>
      </c>
      <c r="H242" t="s">
        <v>530</v>
      </c>
      <c r="I242" s="59">
        <f>VLOOKUP(A242,'611'!D:F,3,FALSE)</f>
        <v>223853.01</v>
      </c>
      <c r="J242" s="59">
        <f>VLOOKUP(A242,'611'!D:Q,14,FALSE)</f>
        <v>223853.01</v>
      </c>
      <c r="K242" s="59">
        <f>VLOOKUP(A242,'611'!D:Q,14,FALSE)</f>
        <v>223853.01</v>
      </c>
      <c r="O242" t="s">
        <v>531</v>
      </c>
      <c r="P242">
        <f>_xlfn.IFNA(VLOOKUP(A242,IndirectCost!B:L,11,FALSE),"")</f>
        <v>8</v>
      </c>
      <c r="Q242">
        <f t="shared" si="3"/>
        <v>0.08</v>
      </c>
    </row>
    <row r="243" spans="1:17">
      <c r="A243" t="s">
        <v>815</v>
      </c>
      <c r="B243" t="s">
        <v>816</v>
      </c>
      <c r="C243" t="str">
        <f>VLOOKUP(A243,Districts!A:I,9,FALSE)</f>
        <v>Flagstaff Arts and Leadership Academy Inc</v>
      </c>
      <c r="D243" t="str">
        <f>VLOOKUP(A243,Districts!A:P,16,FALSE)</f>
        <v>D2YUY5UB9UM7</v>
      </c>
      <c r="E243" t="s">
        <v>528</v>
      </c>
      <c r="F243" s="1">
        <v>45200</v>
      </c>
      <c r="G243" t="s">
        <v>529</v>
      </c>
      <c r="H243" t="s">
        <v>530</v>
      </c>
      <c r="I243" s="59">
        <f>VLOOKUP(A243,'611'!D:F,3,FALSE)</f>
        <v>45027.14</v>
      </c>
      <c r="J243" s="59">
        <f>VLOOKUP(A243,'611'!D:Q,14,FALSE)</f>
        <v>45027.14</v>
      </c>
      <c r="K243" s="59">
        <f>VLOOKUP(A243,'611'!D:Q,14,FALSE)</f>
        <v>45027.14</v>
      </c>
      <c r="O243" t="s">
        <v>531</v>
      </c>
      <c r="P243" t="str">
        <f>_xlfn.IFNA(VLOOKUP(A243,IndirectCost!B:L,11,FALSE),"")</f>
        <v/>
      </c>
      <c r="Q243">
        <f t="shared" si="3"/>
        <v>0</v>
      </c>
    </row>
    <row r="244" spans="1:17">
      <c r="A244" t="s">
        <v>208</v>
      </c>
      <c r="B244" t="s">
        <v>817</v>
      </c>
      <c r="C244" t="str">
        <f>VLOOKUP(A244,Districts!A:I,9,FALSE)</f>
        <v>FLAGSTAFF JR ACADEMY INC</v>
      </c>
      <c r="D244" t="str">
        <f>VLOOKUP(A244,Districts!A:P,16,FALSE)</f>
        <v>K87LTFNHX5Q5</v>
      </c>
      <c r="E244" t="s">
        <v>528</v>
      </c>
      <c r="F244" s="1">
        <v>45200</v>
      </c>
      <c r="G244" t="s">
        <v>529</v>
      </c>
      <c r="H244" t="s">
        <v>530</v>
      </c>
      <c r="I244" s="59">
        <f>VLOOKUP(A244,'611'!D:F,3,FALSE)</f>
        <v>54456.78</v>
      </c>
      <c r="J244" s="59">
        <f>VLOOKUP(A244,'611'!D:Q,14,FALSE)</f>
        <v>54456.78</v>
      </c>
      <c r="K244" s="59">
        <f>VLOOKUP(A244,'611'!D:Q,14,FALSE)</f>
        <v>54456.78</v>
      </c>
      <c r="O244" t="s">
        <v>531</v>
      </c>
      <c r="P244" t="str">
        <f>_xlfn.IFNA(VLOOKUP(A244,IndirectCost!B:L,11,FALSE),"")</f>
        <v/>
      </c>
      <c r="Q244">
        <f t="shared" si="3"/>
        <v>0</v>
      </c>
    </row>
    <row r="245" spans="1:17">
      <c r="A245" t="s">
        <v>209</v>
      </c>
      <c r="B245" t="s">
        <v>818</v>
      </c>
      <c r="C245" t="str">
        <f>VLOOKUP(A245,Districts!A:I,9,FALSE)</f>
        <v>Flagstaff Montessori</v>
      </c>
      <c r="D245" t="str">
        <f>VLOOKUP(A245,Districts!A:P,16,FALSE)</f>
        <v>QFXMDJ24J9N7</v>
      </c>
      <c r="E245" t="s">
        <v>528</v>
      </c>
      <c r="F245" s="1">
        <v>45200</v>
      </c>
      <c r="G245" t="s">
        <v>529</v>
      </c>
      <c r="H245" t="s">
        <v>530</v>
      </c>
      <c r="I245" s="59">
        <f>VLOOKUP(A245,'611'!D:F,3,FALSE)</f>
        <v>25682.48</v>
      </c>
      <c r="J245" s="59">
        <f>VLOOKUP(A245,'611'!D:Q,14,FALSE)</f>
        <v>25682.48</v>
      </c>
      <c r="K245" s="59">
        <f>VLOOKUP(A245,'611'!D:Q,14,FALSE)</f>
        <v>25682.48</v>
      </c>
      <c r="O245" t="s">
        <v>531</v>
      </c>
      <c r="P245">
        <f>_xlfn.IFNA(VLOOKUP(A245,IndirectCost!B:L,11,FALSE),"")</f>
        <v>0</v>
      </c>
      <c r="Q245">
        <f t="shared" si="3"/>
        <v>0</v>
      </c>
    </row>
    <row r="246" spans="1:17">
      <c r="A246" t="s">
        <v>210</v>
      </c>
      <c r="B246" t="s">
        <v>819</v>
      </c>
      <c r="C246" t="str">
        <f>VLOOKUP(A246,Districts!A:I,9,FALSE)</f>
        <v>Flagstaff Unified School District</v>
      </c>
      <c r="D246" t="str">
        <f>VLOOKUP(A246,Districts!A:P,16,FALSE)</f>
        <v>TE3UETKNFWU9</v>
      </c>
      <c r="E246" t="s">
        <v>528</v>
      </c>
      <c r="F246" s="1">
        <v>45200</v>
      </c>
      <c r="G246" t="s">
        <v>529</v>
      </c>
      <c r="H246" t="s">
        <v>530</v>
      </c>
      <c r="I246" s="59">
        <f>VLOOKUP(A246,'611'!D:F,3,FALSE)</f>
        <v>2269244.56</v>
      </c>
      <c r="J246" s="59">
        <f>VLOOKUP(A246,'611'!D:Q,14,FALSE)</f>
        <v>2436597.41</v>
      </c>
      <c r="K246" s="59">
        <f>VLOOKUP(A246,'611'!D:Q,14,FALSE)</f>
        <v>2436597.41</v>
      </c>
      <c r="O246" t="s">
        <v>531</v>
      </c>
      <c r="P246">
        <f>_xlfn.IFNA(VLOOKUP(A246,IndirectCost!B:L,11,FALSE),"")</f>
        <v>0</v>
      </c>
      <c r="Q246">
        <f t="shared" si="3"/>
        <v>0</v>
      </c>
    </row>
    <row r="247" spans="1:17">
      <c r="A247" t="s">
        <v>211</v>
      </c>
      <c r="B247" t="s">
        <v>820</v>
      </c>
      <c r="C247" t="str">
        <f>VLOOKUP(A247,Districts!A:I,9,FALSE)</f>
        <v>Florence Unif School District 1</v>
      </c>
      <c r="D247" t="str">
        <f>VLOOKUP(A247,Districts!A:P,16,FALSE)</f>
        <v>VDY3EF6C8XW3</v>
      </c>
      <c r="E247" t="s">
        <v>528</v>
      </c>
      <c r="F247" s="1">
        <v>45200</v>
      </c>
      <c r="G247" t="s">
        <v>529</v>
      </c>
      <c r="H247" t="s">
        <v>530</v>
      </c>
      <c r="I247" s="59">
        <f>VLOOKUP(A247,'611'!D:F,3,FALSE)</f>
        <v>1522485.37</v>
      </c>
      <c r="J247" s="59">
        <f>VLOOKUP(A247,'611'!D:Q,14,FALSE)</f>
        <v>1618652.33</v>
      </c>
      <c r="K247" s="59">
        <f>VLOOKUP(A247,'611'!D:Q,14,FALSE)</f>
        <v>1618652.33</v>
      </c>
      <c r="O247" t="s">
        <v>531</v>
      </c>
      <c r="P247">
        <f>_xlfn.IFNA(VLOOKUP(A247,IndirectCost!B:L,11,FALSE),"")</f>
        <v>2.78</v>
      </c>
      <c r="Q247">
        <f t="shared" si="3"/>
        <v>2.7799999999999998E-2</v>
      </c>
    </row>
    <row r="248" spans="1:17">
      <c r="A248" t="s">
        <v>212</v>
      </c>
      <c r="B248" t="s">
        <v>821</v>
      </c>
      <c r="C248" t="str">
        <f>VLOOKUP(A248,Districts!A:I,9,FALSE)</f>
        <v>Flowing Wells Unified SD #8</v>
      </c>
      <c r="D248" t="str">
        <f>VLOOKUP(A248,Districts!A:P,16,FALSE)</f>
        <v>J2H6MA99NZ33</v>
      </c>
      <c r="E248" t="s">
        <v>528</v>
      </c>
      <c r="F248" s="1">
        <v>45200</v>
      </c>
      <c r="G248" t="s">
        <v>529</v>
      </c>
      <c r="H248" t="s">
        <v>530</v>
      </c>
      <c r="I248" s="59">
        <f>VLOOKUP(A248,'611'!D:F,3,FALSE)</f>
        <v>1169223.48</v>
      </c>
      <c r="J248" s="59">
        <f>VLOOKUP(A248,'611'!D:Q,14,FALSE)</f>
        <v>1204332.3400000001</v>
      </c>
      <c r="K248" s="59">
        <f>VLOOKUP(A248,'611'!D:Q,14,FALSE)</f>
        <v>1204332.3400000001</v>
      </c>
      <c r="O248" t="s">
        <v>531</v>
      </c>
      <c r="P248">
        <f>_xlfn.IFNA(VLOOKUP(A248,IndirectCost!B:L,11,FALSE),"")</f>
        <v>5.47</v>
      </c>
      <c r="Q248">
        <f t="shared" si="3"/>
        <v>5.4699999999999999E-2</v>
      </c>
    </row>
    <row r="249" spans="1:17">
      <c r="A249" t="s">
        <v>213</v>
      </c>
      <c r="B249" t="s">
        <v>822</v>
      </c>
      <c r="C249" t="str">
        <f>VLOOKUP(A249,Districts!A:I,9,FALSE)</f>
        <v>Fort Huachuca Accommodation School District</v>
      </c>
      <c r="D249" t="str">
        <f>VLOOKUP(A249,Districts!A:P,16,FALSE)</f>
        <v>TMN6UW74NS44</v>
      </c>
      <c r="E249" t="s">
        <v>528</v>
      </c>
      <c r="F249" s="1">
        <v>45200</v>
      </c>
      <c r="G249" t="s">
        <v>529</v>
      </c>
      <c r="H249" t="s">
        <v>530</v>
      </c>
      <c r="I249" s="59">
        <f>VLOOKUP(A249,'611'!D:F,3,FALSE)</f>
        <v>165540.45000000001</v>
      </c>
      <c r="J249" s="59">
        <f>VLOOKUP(A249,'611'!D:Q,14,FALSE)</f>
        <v>188615.64</v>
      </c>
      <c r="K249" s="59">
        <f>VLOOKUP(A249,'611'!D:Q,14,FALSE)</f>
        <v>188615.64</v>
      </c>
      <c r="O249" t="s">
        <v>531</v>
      </c>
      <c r="P249" t="str">
        <f>_xlfn.IFNA(VLOOKUP(A249,IndirectCost!B:L,11,FALSE),"")</f>
        <v/>
      </c>
      <c r="Q249">
        <f t="shared" si="3"/>
        <v>0</v>
      </c>
    </row>
    <row r="250" spans="1:17">
      <c r="A250" t="s">
        <v>214</v>
      </c>
      <c r="B250" t="s">
        <v>823</v>
      </c>
      <c r="C250" t="str">
        <f>VLOOKUP(A250,Districts!A:I,9,FALSE)</f>
        <v>Fort Thomas Unified School District #7</v>
      </c>
      <c r="D250" t="str">
        <f>VLOOKUP(A250,Districts!A:P,16,FALSE)</f>
        <v>GA3NV8ZLUAK3</v>
      </c>
      <c r="E250" t="s">
        <v>528</v>
      </c>
      <c r="F250" s="1">
        <v>45200</v>
      </c>
      <c r="G250" t="s">
        <v>529</v>
      </c>
      <c r="H250" t="s">
        <v>530</v>
      </c>
      <c r="I250" s="59">
        <f>VLOOKUP(A250,'611'!D:F,3,FALSE)</f>
        <v>148691.88</v>
      </c>
      <c r="J250" s="59">
        <f>VLOOKUP(A250,'611'!D:Q,14,FALSE)</f>
        <v>148691.88</v>
      </c>
      <c r="K250" s="59">
        <f>VLOOKUP(A250,'611'!D:Q,14,FALSE)</f>
        <v>148691.88</v>
      </c>
      <c r="O250" t="s">
        <v>531</v>
      </c>
      <c r="P250">
        <f>_xlfn.IFNA(VLOOKUP(A250,IndirectCost!B:L,11,FALSE),"")</f>
        <v>7.1</v>
      </c>
      <c r="Q250">
        <f t="shared" si="3"/>
        <v>7.0999999999999994E-2</v>
      </c>
    </row>
    <row r="251" spans="1:17">
      <c r="A251" t="s">
        <v>215</v>
      </c>
      <c r="B251" t="s">
        <v>824</v>
      </c>
      <c r="C251" t="str">
        <f>VLOOKUP(A251,Districts!A:I,9,FALSE)</f>
        <v>Fountain Hills Unified School District</v>
      </c>
      <c r="D251" t="str">
        <f>VLOOKUP(A251,Districts!A:P,16,FALSE)</f>
        <v>T8L3L1N4MM66</v>
      </c>
      <c r="E251" t="s">
        <v>528</v>
      </c>
      <c r="F251" s="1">
        <v>45200</v>
      </c>
      <c r="G251" t="s">
        <v>529</v>
      </c>
      <c r="H251" t="s">
        <v>530</v>
      </c>
      <c r="I251" s="59">
        <f>VLOOKUP(A251,'611'!D:F,3,FALSE)</f>
        <v>275101.92</v>
      </c>
      <c r="J251" s="59">
        <f>VLOOKUP(A251,'611'!D:Q,14,FALSE)</f>
        <v>296447.34999999998</v>
      </c>
      <c r="K251" s="59">
        <f>VLOOKUP(A251,'611'!D:Q,14,FALSE)</f>
        <v>296447.34999999998</v>
      </c>
      <c r="O251" t="s">
        <v>531</v>
      </c>
      <c r="P251">
        <f>_xlfn.IFNA(VLOOKUP(A251,IndirectCost!B:L,11,FALSE),"")</f>
        <v>7.48</v>
      </c>
      <c r="Q251">
        <f t="shared" si="3"/>
        <v>7.4800000000000005E-2</v>
      </c>
    </row>
    <row r="252" spans="1:17">
      <c r="A252" t="s">
        <v>216</v>
      </c>
      <c r="B252" t="s">
        <v>825</v>
      </c>
      <c r="C252" t="str">
        <f>VLOOKUP(A252,Districts!A:I,9,FALSE)</f>
        <v>Fowler Elementary School District No. 45</v>
      </c>
      <c r="D252" t="str">
        <f>VLOOKUP(A252,Districts!A:P,16,FALSE)</f>
        <v>SE9CJYAMWC94</v>
      </c>
      <c r="E252" t="s">
        <v>528</v>
      </c>
      <c r="F252" s="1">
        <v>45200</v>
      </c>
      <c r="G252" t="s">
        <v>529</v>
      </c>
      <c r="H252" t="s">
        <v>530</v>
      </c>
      <c r="I252" s="59">
        <f>VLOOKUP(A252,'611'!D:F,3,FALSE)</f>
        <v>747132.04</v>
      </c>
      <c r="J252" s="59">
        <f>VLOOKUP(A252,'611'!D:Q,14,FALSE)</f>
        <v>765446.03</v>
      </c>
      <c r="K252" s="59">
        <f>VLOOKUP(A252,'611'!D:Q,14,FALSE)</f>
        <v>765446.03</v>
      </c>
      <c r="O252" t="s">
        <v>531</v>
      </c>
      <c r="P252">
        <f>_xlfn.IFNA(VLOOKUP(A252,IndirectCost!B:L,11,FALSE),"")</f>
        <v>5.03</v>
      </c>
      <c r="Q252">
        <f t="shared" si="3"/>
        <v>5.0300000000000004E-2</v>
      </c>
    </row>
    <row r="253" spans="1:17">
      <c r="A253" t="s">
        <v>217</v>
      </c>
      <c r="B253" t="s">
        <v>826</v>
      </c>
      <c r="C253" t="str">
        <f>VLOOKUP(A253,Districts!A:I,9,FALSE)</f>
        <v>Franklin Phonetic Primary School, Inc</v>
      </c>
      <c r="D253" t="str">
        <f>VLOOKUP(A253,Districts!A:P,16,FALSE)</f>
        <v>LLR3VWZTQYC9</v>
      </c>
      <c r="E253" t="s">
        <v>528</v>
      </c>
      <c r="F253" s="1">
        <v>45200</v>
      </c>
      <c r="G253" t="s">
        <v>529</v>
      </c>
      <c r="H253" t="s">
        <v>530</v>
      </c>
      <c r="I253" s="59">
        <f>VLOOKUP(A253,'611'!D:F,3,FALSE)</f>
        <v>15185.12</v>
      </c>
      <c r="J253" s="59">
        <f>VLOOKUP(A253,'611'!D:Q,14,FALSE)</f>
        <v>15185.12</v>
      </c>
      <c r="K253" s="59">
        <f>VLOOKUP(A253,'611'!D:Q,14,FALSE)</f>
        <v>15185.12</v>
      </c>
      <c r="O253" t="s">
        <v>531</v>
      </c>
      <c r="P253" t="str">
        <f>_xlfn.IFNA(VLOOKUP(A253,IndirectCost!B:L,11,FALSE),"")</f>
        <v/>
      </c>
      <c r="Q253">
        <f t="shared" si="3"/>
        <v>0</v>
      </c>
    </row>
    <row r="254" spans="1:17">
      <c r="A254" t="s">
        <v>218</v>
      </c>
      <c r="B254" t="s">
        <v>826</v>
      </c>
      <c r="C254" t="str">
        <f>VLOOKUP(A254,Districts!A:I,9,FALSE)</f>
        <v>Franklin Phonetic Primary School, Inc</v>
      </c>
      <c r="D254" t="str">
        <f>VLOOKUP(A254,Districts!A:P,16,FALSE)</f>
        <v>KEG7NG4TZ355</v>
      </c>
      <c r="E254" t="s">
        <v>528</v>
      </c>
      <c r="F254" s="1">
        <v>45200</v>
      </c>
      <c r="G254" t="s">
        <v>529</v>
      </c>
      <c r="H254" t="s">
        <v>530</v>
      </c>
      <c r="I254" s="59">
        <f>VLOOKUP(A254,'611'!D:F,3,FALSE)</f>
        <v>79933.36</v>
      </c>
      <c r="J254" s="59">
        <f>VLOOKUP(A254,'611'!D:Q,14,FALSE)</f>
        <v>79933.36</v>
      </c>
      <c r="K254" s="59">
        <f>VLOOKUP(A254,'611'!D:Q,14,FALSE)</f>
        <v>79933.36</v>
      </c>
      <c r="O254" t="s">
        <v>531</v>
      </c>
      <c r="P254" t="str">
        <f>_xlfn.IFNA(VLOOKUP(A254,IndirectCost!B:L,11,FALSE),"")</f>
        <v/>
      </c>
      <c r="Q254">
        <f t="shared" si="3"/>
        <v>0</v>
      </c>
    </row>
    <row r="255" spans="1:17">
      <c r="A255" t="s">
        <v>219</v>
      </c>
      <c r="B255" t="s">
        <v>827</v>
      </c>
      <c r="C255" t="str">
        <f>VLOOKUP(A255,Districts!A:I,9,FALSE)</f>
        <v>Fredonia Moccasin School District 6</v>
      </c>
      <c r="D255" t="str">
        <f>VLOOKUP(A255,Districts!A:P,16,FALSE)</f>
        <v>FCLTEW55EKQ7</v>
      </c>
      <c r="E255" t="s">
        <v>528</v>
      </c>
      <c r="F255" s="1">
        <v>45200</v>
      </c>
      <c r="G255" t="s">
        <v>529</v>
      </c>
      <c r="H255" t="s">
        <v>530</v>
      </c>
      <c r="I255" s="59">
        <f>VLOOKUP(A255,'611'!D:F,3,FALSE)</f>
        <v>46745.21</v>
      </c>
      <c r="J255" s="59">
        <f>VLOOKUP(A255,'611'!D:Q,14,FALSE)</f>
        <v>91782.7</v>
      </c>
      <c r="K255" s="59">
        <f>VLOOKUP(A255,'611'!D:Q,14,FALSE)</f>
        <v>91782.7</v>
      </c>
      <c r="O255" t="s">
        <v>531</v>
      </c>
      <c r="P255">
        <f>_xlfn.IFNA(VLOOKUP(A255,IndirectCost!B:L,11,FALSE),"")</f>
        <v>8</v>
      </c>
      <c r="Q255">
        <f t="shared" si="3"/>
        <v>0.08</v>
      </c>
    </row>
    <row r="256" spans="1:17">
      <c r="A256" t="s">
        <v>220</v>
      </c>
      <c r="B256" t="s">
        <v>828</v>
      </c>
      <c r="C256" t="str">
        <f>VLOOKUP(A256,Districts!A:I,9,FALSE)</f>
        <v>Freedom Academy, Inc</v>
      </c>
      <c r="D256" t="str">
        <f>VLOOKUP(A256,Districts!A:P,16,FALSE)</f>
        <v>NUY5KS3ZCM48</v>
      </c>
      <c r="E256" t="s">
        <v>528</v>
      </c>
      <c r="F256" s="1">
        <v>45200</v>
      </c>
      <c r="G256" t="s">
        <v>529</v>
      </c>
      <c r="H256" t="s">
        <v>530</v>
      </c>
      <c r="I256" s="59">
        <f>VLOOKUP(A256,'611'!D:F,3,FALSE)</f>
        <v>48678.51</v>
      </c>
      <c r="J256" s="59">
        <f>VLOOKUP(A256,'611'!D:Q,14,FALSE)</f>
        <v>48678.51</v>
      </c>
      <c r="K256" s="59">
        <f>VLOOKUP(A256,'611'!D:Q,14,FALSE)</f>
        <v>48678.51</v>
      </c>
      <c r="O256" t="s">
        <v>531</v>
      </c>
      <c r="P256" t="str">
        <f>_xlfn.IFNA(VLOOKUP(A256,IndirectCost!B:L,11,FALSE),"")</f>
        <v/>
      </c>
      <c r="Q256">
        <f t="shared" si="3"/>
        <v>0</v>
      </c>
    </row>
    <row r="257" spans="1:17">
      <c r="A257" t="s">
        <v>829</v>
      </c>
      <c r="B257" t="s">
        <v>830</v>
      </c>
      <c r="C257" t="str">
        <f>VLOOKUP(A257,Districts!A:I,9,FALSE)</f>
        <v>Freedom Prep Academy-Mesa</v>
      </c>
      <c r="D257" t="str">
        <f>VLOOKUP(A257,Districts!A:P,16,FALSE)</f>
        <v>CERASHBFUFJ3</v>
      </c>
      <c r="E257" t="s">
        <v>528</v>
      </c>
      <c r="F257" s="1">
        <v>45200</v>
      </c>
      <c r="G257" t="s">
        <v>529</v>
      </c>
      <c r="H257" t="s">
        <v>530</v>
      </c>
      <c r="I257" s="59">
        <f>VLOOKUP(A257,'611'!D:F,3,FALSE)</f>
        <v>29408.09</v>
      </c>
      <c r="J257" s="59">
        <f>VLOOKUP(A257,'611'!D:Q,14,FALSE)</f>
        <v>29408.09</v>
      </c>
      <c r="K257" s="59">
        <f>VLOOKUP(A257,'611'!D:Q,14,FALSE)</f>
        <v>29408.09</v>
      </c>
      <c r="O257" t="s">
        <v>531</v>
      </c>
      <c r="P257">
        <f>_xlfn.IFNA(VLOOKUP(A257,IndirectCost!B:L,11,FALSE),"")</f>
        <v>0</v>
      </c>
      <c r="Q257">
        <f t="shared" si="3"/>
        <v>0</v>
      </c>
    </row>
    <row r="258" spans="1:17">
      <c r="A258" t="s">
        <v>221</v>
      </c>
      <c r="B258" t="s">
        <v>831</v>
      </c>
      <c r="C258" t="str">
        <f>VLOOKUP(A258,Districts!A:I,9,FALSE)</f>
        <v>Friendly House, Inc</v>
      </c>
      <c r="D258" t="str">
        <f>VLOOKUP(A258,Districts!A:P,16,FALSE)</f>
        <v>K7ZUGB5RLNN3</v>
      </c>
      <c r="E258" t="s">
        <v>528</v>
      </c>
      <c r="F258" s="1">
        <v>45200</v>
      </c>
      <c r="G258" t="s">
        <v>529</v>
      </c>
      <c r="H258" t="s">
        <v>530</v>
      </c>
      <c r="I258" s="59">
        <f>VLOOKUP(A258,'611'!D:F,3,FALSE)</f>
        <v>58131.8</v>
      </c>
      <c r="J258" s="59">
        <f>VLOOKUP(A258,'611'!D:Q,14,FALSE)</f>
        <v>59216.77</v>
      </c>
      <c r="K258" s="59">
        <f>VLOOKUP(A258,'611'!D:Q,14,FALSE)</f>
        <v>59216.77</v>
      </c>
      <c r="O258" t="s">
        <v>531</v>
      </c>
      <c r="P258">
        <f>_xlfn.IFNA(VLOOKUP(A258,IndirectCost!B:L,11,FALSE),"")</f>
        <v>8</v>
      </c>
      <c r="Q258">
        <f t="shared" si="3"/>
        <v>0.08</v>
      </c>
    </row>
    <row r="259" spans="1:17">
      <c r="A259" t="s">
        <v>222</v>
      </c>
      <c r="B259" t="s">
        <v>832</v>
      </c>
      <c r="C259" t="str">
        <f>VLOOKUP(A259,Districts!A:I,9,FALSE)</f>
        <v>Gadsden Elementary School District #32</v>
      </c>
      <c r="D259" t="str">
        <f>VLOOKUP(A259,Districts!A:P,16,FALSE)</f>
        <v>WPK7HED7E1Z8</v>
      </c>
      <c r="E259" t="s">
        <v>528</v>
      </c>
      <c r="F259" s="1">
        <v>45200</v>
      </c>
      <c r="G259" t="s">
        <v>529</v>
      </c>
      <c r="H259" t="s">
        <v>530</v>
      </c>
      <c r="I259" s="59">
        <f>VLOOKUP(A259,'611'!D:F,3,FALSE)</f>
        <v>972605.87</v>
      </c>
      <c r="J259" s="59">
        <f>VLOOKUP(A259,'611'!D:Q,14,FALSE)</f>
        <v>1279387.3400000001</v>
      </c>
      <c r="K259" s="59">
        <f>VLOOKUP(A259,'611'!D:Q,14,FALSE)</f>
        <v>1279387.3400000001</v>
      </c>
      <c r="O259" t="s">
        <v>531</v>
      </c>
      <c r="P259">
        <f>_xlfn.IFNA(VLOOKUP(A259,IndirectCost!B:L,11,FALSE),"")</f>
        <v>4.22</v>
      </c>
      <c r="Q259">
        <f t="shared" si="3"/>
        <v>4.2199999999999994E-2</v>
      </c>
    </row>
    <row r="260" spans="1:17">
      <c r="A260" t="s">
        <v>223</v>
      </c>
      <c r="B260" t="s">
        <v>833</v>
      </c>
      <c r="C260" t="str">
        <f>VLOOKUP(A260,Districts!A:I,9,FALSE)</f>
        <v>Ganado Unified School District #20</v>
      </c>
      <c r="D260" t="str">
        <f>VLOOKUP(A260,Districts!A:P,16,FALSE)</f>
        <v>RYBGWRZ7MC53</v>
      </c>
      <c r="E260" t="s">
        <v>528</v>
      </c>
      <c r="F260" s="1">
        <v>45200</v>
      </c>
      <c r="G260" t="s">
        <v>529</v>
      </c>
      <c r="H260" t="s">
        <v>530</v>
      </c>
      <c r="I260" s="59">
        <f>VLOOKUP(A260,'611'!D:F,3,FALSE)</f>
        <v>278315.06</v>
      </c>
      <c r="J260" s="59">
        <f>VLOOKUP(A260,'611'!D:Q,14,FALSE)</f>
        <v>365936.79</v>
      </c>
      <c r="K260" s="59">
        <f>VLOOKUP(A260,'611'!D:Q,14,FALSE)</f>
        <v>365936.79</v>
      </c>
      <c r="O260" t="s">
        <v>531</v>
      </c>
      <c r="P260">
        <f>_xlfn.IFNA(VLOOKUP(A260,IndirectCost!B:L,11,FALSE),"")</f>
        <v>8</v>
      </c>
      <c r="Q260">
        <f t="shared" ref="Q260:Q323" si="4">IFERROR(P260/100,0)</f>
        <v>0.08</v>
      </c>
    </row>
    <row r="261" spans="1:17">
      <c r="A261" t="s">
        <v>224</v>
      </c>
      <c r="B261" t="s">
        <v>834</v>
      </c>
      <c r="C261" t="str">
        <f>VLOOKUP(A261,Districts!A:I,9,FALSE)</f>
        <v>GEM Charter School, Inc.</v>
      </c>
      <c r="D261" t="str">
        <f>VLOOKUP(A261,Districts!A:P,16,FALSE)</f>
        <v>JNKEM5NRNBH5</v>
      </c>
      <c r="E261" t="s">
        <v>528</v>
      </c>
      <c r="F261" s="1">
        <v>45200</v>
      </c>
      <c r="G261" t="s">
        <v>529</v>
      </c>
      <c r="H261" t="s">
        <v>530</v>
      </c>
      <c r="I261" s="59">
        <f>VLOOKUP(A261,'611'!D:F,3,FALSE)</f>
        <v>8983.6</v>
      </c>
      <c r="J261" s="59">
        <f>VLOOKUP(A261,'611'!D:Q,14,FALSE)</f>
        <v>0</v>
      </c>
      <c r="K261" s="59">
        <f>VLOOKUP(A261,'611'!D:Q,14,FALSE)</f>
        <v>0</v>
      </c>
      <c r="O261" t="s">
        <v>531</v>
      </c>
      <c r="P261" t="str">
        <f>_xlfn.IFNA(VLOOKUP(A261,IndirectCost!B:L,11,FALSE),"")</f>
        <v/>
      </c>
      <c r="Q261">
        <f t="shared" si="4"/>
        <v>0</v>
      </c>
    </row>
    <row r="262" spans="1:17">
      <c r="A262" t="s">
        <v>835</v>
      </c>
      <c r="B262" t="s">
        <v>836</v>
      </c>
      <c r="C262" t="str">
        <f>VLOOKUP(A262,Districts!A:I,9,FALSE)</f>
        <v>Genesis Program, Inc.</v>
      </c>
      <c r="D262" t="str">
        <f>VLOOKUP(A262,Districts!A:P,16,FALSE)</f>
        <v>HJERKRSYMPA1</v>
      </c>
      <c r="E262" t="s">
        <v>528</v>
      </c>
      <c r="F262" s="1">
        <v>45200</v>
      </c>
      <c r="G262" t="s">
        <v>529</v>
      </c>
      <c r="H262" t="s">
        <v>530</v>
      </c>
      <c r="I262" s="59">
        <f>VLOOKUP(A262,'611'!D:F,3,FALSE)</f>
        <v>14701.98</v>
      </c>
      <c r="J262" s="59">
        <f>VLOOKUP(A262,'611'!D:Q,14,FALSE)</f>
        <v>33466.58</v>
      </c>
      <c r="K262" s="59">
        <f>VLOOKUP(A262,'611'!D:Q,14,FALSE)</f>
        <v>33466.58</v>
      </c>
      <c r="O262" t="s">
        <v>531</v>
      </c>
      <c r="P262" t="str">
        <f>_xlfn.IFNA(VLOOKUP(A262,IndirectCost!B:L,11,FALSE),"")</f>
        <v/>
      </c>
      <c r="Q262">
        <f t="shared" si="4"/>
        <v>0</v>
      </c>
    </row>
    <row r="263" spans="1:17">
      <c r="A263" t="s">
        <v>225</v>
      </c>
      <c r="B263" t="s">
        <v>837</v>
      </c>
      <c r="C263" t="str">
        <f>VLOOKUP(A263,Districts!A:I,9,FALSE)</f>
        <v>George Gervin Youth Center Inc</v>
      </c>
      <c r="D263" t="str">
        <f>VLOOKUP(A263,Districts!A:P,16,FALSE)</f>
        <v>PAEJCHJAMLU5</v>
      </c>
      <c r="E263" t="s">
        <v>528</v>
      </c>
      <c r="F263" s="1">
        <v>45200</v>
      </c>
      <c r="G263" t="s">
        <v>529</v>
      </c>
      <c r="H263" t="s">
        <v>530</v>
      </c>
      <c r="I263" s="59">
        <f>VLOOKUP(A263,'611'!D:F,3,FALSE)</f>
        <v>31440.14</v>
      </c>
      <c r="J263" s="59">
        <f>VLOOKUP(A263,'611'!D:Q,14,FALSE)</f>
        <v>31440.14</v>
      </c>
      <c r="K263" s="59">
        <f>VLOOKUP(A263,'611'!D:Q,14,FALSE)</f>
        <v>31440.14</v>
      </c>
      <c r="O263" t="s">
        <v>531</v>
      </c>
      <c r="P263" t="str">
        <f>_xlfn.IFNA(VLOOKUP(A263,IndirectCost!B:L,11,FALSE),"")</f>
        <v/>
      </c>
      <c r="Q263">
        <f t="shared" si="4"/>
        <v>0</v>
      </c>
    </row>
    <row r="264" spans="1:17">
      <c r="A264" t="s">
        <v>226</v>
      </c>
      <c r="B264" t="s">
        <v>838</v>
      </c>
      <c r="C264" t="str">
        <f>VLOOKUP(A264,Districts!A:I,9,FALSE)</f>
        <v>Gila Bend Unified District School District</v>
      </c>
      <c r="D264" t="str">
        <f>VLOOKUP(A264,Districts!A:P,16,FALSE)</f>
        <v>ZZVSE4D394J9</v>
      </c>
      <c r="E264" t="s">
        <v>528</v>
      </c>
      <c r="F264" s="1">
        <v>45200</v>
      </c>
      <c r="G264" t="s">
        <v>529</v>
      </c>
      <c r="H264" t="s">
        <v>530</v>
      </c>
      <c r="I264" s="59">
        <f>VLOOKUP(A264,'611'!D:F,3,FALSE)</f>
        <v>114539.04</v>
      </c>
      <c r="J264" s="59">
        <f>VLOOKUP(A264,'611'!D:Q,14,FALSE)</f>
        <v>142087.64000000001</v>
      </c>
      <c r="K264" s="59">
        <f>VLOOKUP(A264,'611'!D:Q,14,FALSE)</f>
        <v>142087.64000000001</v>
      </c>
      <c r="O264" t="s">
        <v>531</v>
      </c>
      <c r="P264">
        <f>_xlfn.IFNA(VLOOKUP(A264,IndirectCost!B:L,11,FALSE),"")</f>
        <v>8</v>
      </c>
      <c r="Q264">
        <f t="shared" si="4"/>
        <v>0.08</v>
      </c>
    </row>
    <row r="265" spans="1:17">
      <c r="A265" t="s">
        <v>839</v>
      </c>
      <c r="B265" t="s">
        <v>840</v>
      </c>
      <c r="C265" t="str">
        <f>VLOOKUP(A265,Districts!A:I,9,FALSE)</f>
        <v>GILA COUNTY REGIONAL SCHOOL DISTRICT</v>
      </c>
      <c r="D265" t="str">
        <f>VLOOKUP(A265,Districts!A:P,16,FALSE)</f>
        <v>K2P3YL7Z2W13</v>
      </c>
      <c r="E265" t="s">
        <v>528</v>
      </c>
      <c r="F265" s="1">
        <v>45200</v>
      </c>
      <c r="G265" t="s">
        <v>529</v>
      </c>
      <c r="H265" t="s">
        <v>530</v>
      </c>
      <c r="I265" s="59">
        <f>VLOOKUP(A265,'611'!D:F,3,FALSE)</f>
        <v>6371.53</v>
      </c>
      <c r="J265" s="59">
        <f>VLOOKUP(A265,'611'!D:Q,14,FALSE)</f>
        <v>9196.8700000000008</v>
      </c>
      <c r="K265" s="59">
        <f>VLOOKUP(A265,'611'!D:Q,14,FALSE)</f>
        <v>9196.8700000000008</v>
      </c>
      <c r="O265" t="s">
        <v>531</v>
      </c>
      <c r="P265">
        <f>_xlfn.IFNA(VLOOKUP(A265,IndirectCost!B:L,11,FALSE),"")</f>
        <v>8</v>
      </c>
      <c r="Q265">
        <f t="shared" si="4"/>
        <v>0.08</v>
      </c>
    </row>
    <row r="266" spans="1:17">
      <c r="A266" t="s">
        <v>841</v>
      </c>
      <c r="B266" t="s">
        <v>842</v>
      </c>
      <c r="C266" t="str">
        <f>VLOOKUP(A266,Districts!A:I,9,FALSE)</f>
        <v>GILA COUNTY, AZ</v>
      </c>
      <c r="D266">
        <f>VLOOKUP(A266,Districts!A:P,16,FALSE)</f>
        <v>0</v>
      </c>
      <c r="E266" t="s">
        <v>528</v>
      </c>
      <c r="F266" s="1">
        <v>45200</v>
      </c>
      <c r="G266" t="s">
        <v>529</v>
      </c>
      <c r="H266" t="s">
        <v>530</v>
      </c>
      <c r="I266" s="59">
        <f>VLOOKUP(A266,'611'!D:F,3,FALSE)</f>
        <v>7476.33</v>
      </c>
      <c r="J266" s="59">
        <f>VLOOKUP(A266,'611'!D:Q,14,FALSE)</f>
        <v>7476.33</v>
      </c>
      <c r="K266" s="59">
        <f>VLOOKUP(A266,'611'!D:Q,14,FALSE)</f>
        <v>7476.33</v>
      </c>
      <c r="O266" t="s">
        <v>531</v>
      </c>
      <c r="P266" t="str">
        <f>_xlfn.IFNA(VLOOKUP(A266,IndirectCost!B:L,11,FALSE),"")</f>
        <v/>
      </c>
      <c r="Q266">
        <f t="shared" si="4"/>
        <v>0</v>
      </c>
    </row>
    <row r="267" spans="1:17">
      <c r="A267" t="s">
        <v>227</v>
      </c>
      <c r="B267" t="s">
        <v>843</v>
      </c>
      <c r="C267" t="str">
        <f>VLOOKUP(A267,Districts!A:I,9,FALSE)</f>
        <v>Gilbert Unified School District</v>
      </c>
      <c r="D267" t="str">
        <f>VLOOKUP(A267,Districts!A:P,16,FALSE)</f>
        <v>KECWJMSLJEA5</v>
      </c>
      <c r="E267" t="s">
        <v>528</v>
      </c>
      <c r="F267" s="1">
        <v>45200</v>
      </c>
      <c r="G267" t="s">
        <v>529</v>
      </c>
      <c r="H267" t="s">
        <v>530</v>
      </c>
      <c r="I267" s="59">
        <f>VLOOKUP(A267,'611'!D:F,3,FALSE)</f>
        <v>6309855.5099999998</v>
      </c>
      <c r="J267" s="59">
        <f>VLOOKUP(A267,'611'!D:Q,14,FALSE)</f>
        <v>7866803.9800000004</v>
      </c>
      <c r="K267" s="59">
        <f>VLOOKUP(A267,'611'!D:Q,14,FALSE)</f>
        <v>7866803.9800000004</v>
      </c>
      <c r="O267" t="s">
        <v>531</v>
      </c>
      <c r="P267">
        <f>_xlfn.IFNA(VLOOKUP(A267,IndirectCost!B:L,11,FALSE),"")</f>
        <v>3.43</v>
      </c>
      <c r="Q267">
        <f t="shared" si="4"/>
        <v>3.4300000000000004E-2</v>
      </c>
    </row>
    <row r="268" spans="1:17">
      <c r="A268" t="s">
        <v>228</v>
      </c>
      <c r="B268" t="s">
        <v>844</v>
      </c>
      <c r="C268" t="str">
        <f>VLOOKUP(A268,Districts!A:I,9,FALSE)</f>
        <v>Glen Canyon Outdoor Academy</v>
      </c>
      <c r="D268" t="str">
        <f>VLOOKUP(A268,Districts!A:P,16,FALSE)</f>
        <v>WRVCJA18EN23</v>
      </c>
      <c r="E268" t="s">
        <v>528</v>
      </c>
      <c r="F268" s="1">
        <v>45200</v>
      </c>
      <c r="G268" t="s">
        <v>529</v>
      </c>
      <c r="H268" t="s">
        <v>530</v>
      </c>
      <c r="I268" s="59">
        <f>VLOOKUP(A268,'611'!D:F,3,FALSE)</f>
        <v>39470.51</v>
      </c>
      <c r="J268" s="59">
        <f>VLOOKUP(A268,'611'!D:Q,14,FALSE)</f>
        <v>42080.51</v>
      </c>
      <c r="K268" s="59">
        <f>VLOOKUP(A268,'611'!D:Q,14,FALSE)</f>
        <v>42080.51</v>
      </c>
      <c r="O268" t="s">
        <v>531</v>
      </c>
      <c r="P268">
        <f>_xlfn.IFNA(VLOOKUP(A268,IndirectCost!B:L,11,FALSE),"")</f>
        <v>0</v>
      </c>
      <c r="Q268">
        <f t="shared" si="4"/>
        <v>0</v>
      </c>
    </row>
    <row r="269" spans="1:17">
      <c r="A269" t="s">
        <v>229</v>
      </c>
      <c r="B269" t="s">
        <v>845</v>
      </c>
      <c r="C269" t="str">
        <f>VLOOKUP(A269,Districts!A:I,9,FALSE)</f>
        <v>Glendale Elementary School District</v>
      </c>
      <c r="D269" t="str">
        <f>VLOOKUP(A269,Districts!A:P,16,FALSE)</f>
        <v>HK2MBQAZNAR2</v>
      </c>
      <c r="E269" t="s">
        <v>528</v>
      </c>
      <c r="F269" s="1">
        <v>45200</v>
      </c>
      <c r="G269" t="s">
        <v>529</v>
      </c>
      <c r="H269" t="s">
        <v>530</v>
      </c>
      <c r="I269" s="59">
        <f>VLOOKUP(A269,'611'!D:F,3,FALSE)</f>
        <v>2298356.7599999998</v>
      </c>
      <c r="J269" s="59">
        <f>VLOOKUP(A269,'611'!D:Q,14,FALSE)</f>
        <v>4048505.39</v>
      </c>
      <c r="K269" s="59">
        <f>VLOOKUP(A269,'611'!D:Q,14,FALSE)</f>
        <v>4048505.39</v>
      </c>
      <c r="O269" t="s">
        <v>531</v>
      </c>
      <c r="P269">
        <f>_xlfn.IFNA(VLOOKUP(A269,IndirectCost!B:L,11,FALSE),"")</f>
        <v>8</v>
      </c>
      <c r="Q269">
        <f t="shared" si="4"/>
        <v>0.08</v>
      </c>
    </row>
    <row r="270" spans="1:17">
      <c r="A270" t="s">
        <v>846</v>
      </c>
      <c r="B270" t="s">
        <v>847</v>
      </c>
      <c r="C270" t="str">
        <f>VLOOKUP(A270,Districts!A:I,9,FALSE)</f>
        <v>Glendale Preparatory Academy</v>
      </c>
      <c r="D270" t="str">
        <f>VLOOKUP(A270,Districts!A:P,16,FALSE)</f>
        <v>TAU5MNKZSPN5</v>
      </c>
      <c r="E270" t="s">
        <v>528</v>
      </c>
      <c r="F270" s="1">
        <v>45200</v>
      </c>
      <c r="G270" t="s">
        <v>529</v>
      </c>
      <c r="H270" t="s">
        <v>530</v>
      </c>
      <c r="I270" s="59">
        <f>VLOOKUP(A270,'611'!D:F,3,FALSE)</f>
        <v>79606.429999999993</v>
      </c>
      <c r="J270" s="59">
        <f>VLOOKUP(A270,'611'!D:Q,14,FALSE)</f>
        <v>80024.7</v>
      </c>
      <c r="K270" s="59">
        <f>VLOOKUP(A270,'611'!D:Q,14,FALSE)</f>
        <v>80024.7</v>
      </c>
      <c r="O270" t="s">
        <v>531</v>
      </c>
      <c r="P270">
        <f>_xlfn.IFNA(VLOOKUP(A270,IndirectCost!B:L,11,FALSE),"")</f>
        <v>8</v>
      </c>
      <c r="Q270">
        <f t="shared" si="4"/>
        <v>0.08</v>
      </c>
    </row>
    <row r="271" spans="1:17">
      <c r="A271" t="s">
        <v>230</v>
      </c>
      <c r="B271" t="s">
        <v>848</v>
      </c>
      <c r="C271" t="str">
        <f>VLOOKUP(A271,Districts!A:I,9,FALSE)</f>
        <v>Glendale Union High School District</v>
      </c>
      <c r="D271" t="str">
        <f>VLOOKUP(A271,Districts!A:P,16,FALSE)</f>
        <v>LHKDPA3LHNM8</v>
      </c>
      <c r="E271" t="s">
        <v>528</v>
      </c>
      <c r="F271" s="1">
        <v>45200</v>
      </c>
      <c r="G271" t="s">
        <v>529</v>
      </c>
      <c r="H271" t="s">
        <v>530</v>
      </c>
      <c r="I271" s="59">
        <f>VLOOKUP(A271,'611'!D:F,3,FALSE)</f>
        <v>3305841.3</v>
      </c>
      <c r="J271" s="59">
        <f>VLOOKUP(A271,'611'!D:Q,14,FALSE)</f>
        <v>4060870.29</v>
      </c>
      <c r="K271" s="59">
        <f>VLOOKUP(A271,'611'!D:Q,14,FALSE)</f>
        <v>4060870.29</v>
      </c>
      <c r="O271" t="s">
        <v>531</v>
      </c>
      <c r="P271">
        <f>_xlfn.IFNA(VLOOKUP(A271,IndirectCost!B:L,11,FALSE),"")</f>
        <v>2.4</v>
      </c>
      <c r="Q271">
        <f t="shared" si="4"/>
        <v>2.4E-2</v>
      </c>
    </row>
    <row r="272" spans="1:17">
      <c r="A272" t="s">
        <v>231</v>
      </c>
      <c r="B272" t="s">
        <v>849</v>
      </c>
      <c r="C272" t="str">
        <f>VLOOKUP(A272,Districts!A:I,9,FALSE)</f>
        <v>GLOBE UNIFIED SCHOOL DISTRICT</v>
      </c>
      <c r="D272" t="str">
        <f>VLOOKUP(A272,Districts!A:P,16,FALSE)</f>
        <v>NN1SZL9D48M9</v>
      </c>
      <c r="E272" t="s">
        <v>528</v>
      </c>
      <c r="F272" s="1">
        <v>45200</v>
      </c>
      <c r="G272" t="s">
        <v>529</v>
      </c>
      <c r="H272" t="s">
        <v>530</v>
      </c>
      <c r="I272" s="59">
        <f>VLOOKUP(A272,'611'!D:F,3,FALSE)</f>
        <v>404363.03</v>
      </c>
      <c r="J272" s="59">
        <f>VLOOKUP(A272,'611'!D:Q,14,FALSE)</f>
        <v>479777.39</v>
      </c>
      <c r="K272" s="59">
        <f>VLOOKUP(A272,'611'!D:Q,14,FALSE)</f>
        <v>479777.39</v>
      </c>
      <c r="O272" t="s">
        <v>531</v>
      </c>
      <c r="P272">
        <f>_xlfn.IFNA(VLOOKUP(A272,IndirectCost!B:L,11,FALSE),"")</f>
        <v>8</v>
      </c>
      <c r="Q272">
        <f t="shared" si="4"/>
        <v>0.08</v>
      </c>
    </row>
    <row r="273" spans="1:17">
      <c r="A273" t="s">
        <v>850</v>
      </c>
      <c r="B273" t="s">
        <v>851</v>
      </c>
      <c r="C273" t="str">
        <f>VLOOKUP(A273,Districts!A:I,9,FALSE)</f>
        <v>Graham, County of</v>
      </c>
      <c r="D273" t="str">
        <f>VLOOKUP(A273,Districts!A:P,16,FALSE)</f>
        <v>NUU1FSZDY653</v>
      </c>
      <c r="E273" t="s">
        <v>528</v>
      </c>
      <c r="F273" s="1">
        <v>45200</v>
      </c>
      <c r="G273" t="s">
        <v>529</v>
      </c>
      <c r="H273" t="s">
        <v>530</v>
      </c>
      <c r="I273" s="59">
        <f>VLOOKUP(A273,'611'!D:F,3,FALSE)</f>
        <v>985.32</v>
      </c>
      <c r="J273" s="59">
        <f>VLOOKUP(A273,'611'!D:Q,14,FALSE)</f>
        <v>0</v>
      </c>
      <c r="K273" s="59">
        <f>VLOOKUP(A273,'611'!D:Q,14,FALSE)</f>
        <v>0</v>
      </c>
      <c r="O273" t="s">
        <v>531</v>
      </c>
      <c r="P273" t="str">
        <f>_xlfn.IFNA(VLOOKUP(A273,IndirectCost!B:L,11,FALSE),"")</f>
        <v/>
      </c>
      <c r="Q273">
        <f t="shared" si="4"/>
        <v>0</v>
      </c>
    </row>
    <row r="274" spans="1:17">
      <c r="A274" t="s">
        <v>232</v>
      </c>
      <c r="B274" t="s">
        <v>852</v>
      </c>
      <c r="C274" t="str">
        <f>VLOOKUP(A274,Districts!A:I,9,FALSE)</f>
        <v>Grand Canyon Unified School District 4</v>
      </c>
      <c r="D274" t="str">
        <f>VLOOKUP(A274,Districts!A:P,16,FALSE)</f>
        <v>CZFBSA1JCGB3</v>
      </c>
      <c r="E274" t="s">
        <v>528</v>
      </c>
      <c r="F274" s="1">
        <v>45200</v>
      </c>
      <c r="G274" t="s">
        <v>529</v>
      </c>
      <c r="H274" t="s">
        <v>530</v>
      </c>
      <c r="I274" s="59">
        <f>VLOOKUP(A274,'611'!D:F,3,FALSE)</f>
        <v>57500.73</v>
      </c>
      <c r="J274" s="59">
        <f>VLOOKUP(A274,'611'!D:Q,14,FALSE)</f>
        <v>57578.59</v>
      </c>
      <c r="K274" s="59">
        <f>VLOOKUP(A274,'611'!D:Q,14,FALSE)</f>
        <v>57578.59</v>
      </c>
      <c r="O274" t="s">
        <v>531</v>
      </c>
      <c r="P274">
        <f>_xlfn.IFNA(VLOOKUP(A274,IndirectCost!B:L,11,FALSE),"")</f>
        <v>0</v>
      </c>
      <c r="Q274">
        <f t="shared" si="4"/>
        <v>0</v>
      </c>
    </row>
    <row r="275" spans="1:17">
      <c r="A275" t="s">
        <v>233</v>
      </c>
      <c r="B275" t="s">
        <v>853</v>
      </c>
      <c r="C275" t="str">
        <f>VLOOKUP(A275,Districts!A:I,9,FALSE)</f>
        <v>Great Expectations Academy Inc</v>
      </c>
      <c r="D275" t="str">
        <f>VLOOKUP(A275,Districts!A:P,16,FALSE)</f>
        <v>NP4CLKNUULL3</v>
      </c>
      <c r="E275" t="s">
        <v>528</v>
      </c>
      <c r="F275" s="1">
        <v>45200</v>
      </c>
      <c r="G275" t="s">
        <v>529</v>
      </c>
      <c r="H275" t="s">
        <v>530</v>
      </c>
      <c r="I275" s="59">
        <f>VLOOKUP(A275,'611'!D:F,3,FALSE)</f>
        <v>37819.1</v>
      </c>
      <c r="J275" s="59">
        <f>VLOOKUP(A275,'611'!D:Q,14,FALSE)</f>
        <v>45320.160000000003</v>
      </c>
      <c r="K275" s="59">
        <f>VLOOKUP(A275,'611'!D:Q,14,FALSE)</f>
        <v>45320.160000000003</v>
      </c>
      <c r="O275" t="s">
        <v>531</v>
      </c>
      <c r="P275" t="str">
        <f>_xlfn.IFNA(VLOOKUP(A275,IndirectCost!B:L,11,FALSE),"")</f>
        <v/>
      </c>
      <c r="Q275">
        <f t="shared" si="4"/>
        <v>0</v>
      </c>
    </row>
    <row r="276" spans="1:17">
      <c r="A276" t="s">
        <v>234</v>
      </c>
      <c r="B276" t="s">
        <v>854</v>
      </c>
      <c r="C276" t="str">
        <f>VLOOKUP(A276,Districts!A:I,9,FALSE)</f>
        <v>Griffin Foundation</v>
      </c>
      <c r="D276" t="str">
        <f>VLOOKUP(A276,Districts!A:P,16,FALSE)</f>
        <v>M5YXTL74BDG5</v>
      </c>
      <c r="E276" t="s">
        <v>528</v>
      </c>
      <c r="F276" s="1">
        <v>45200</v>
      </c>
      <c r="G276" t="s">
        <v>529</v>
      </c>
      <c r="H276" t="s">
        <v>530</v>
      </c>
      <c r="I276" s="59">
        <f>VLOOKUP(A276,'611'!D:F,3,FALSE)</f>
        <v>25427.99</v>
      </c>
      <c r="J276" s="59">
        <f>VLOOKUP(A276,'611'!D:Q,14,FALSE)</f>
        <v>25427.99</v>
      </c>
      <c r="K276" s="59">
        <f>VLOOKUP(A276,'611'!D:Q,14,FALSE)</f>
        <v>25427.99</v>
      </c>
      <c r="O276" t="s">
        <v>531</v>
      </c>
      <c r="P276">
        <f>_xlfn.IFNA(VLOOKUP(A276,IndirectCost!B:L,11,FALSE),"")</f>
        <v>0</v>
      </c>
      <c r="Q276">
        <f t="shared" si="4"/>
        <v>0</v>
      </c>
    </row>
    <row r="277" spans="1:17">
      <c r="A277" t="s">
        <v>855</v>
      </c>
      <c r="B277" t="s">
        <v>856</v>
      </c>
      <c r="C277" t="str">
        <f>VLOOKUP(A277,Districts!A:I,9,FALSE)</f>
        <v>HA:SAN EDUCATIONAL SERVICES INC.</v>
      </c>
      <c r="D277" t="str">
        <f>VLOOKUP(A277,Districts!A:P,16,FALSE)</f>
        <v>XY12DMP29WL3</v>
      </c>
      <c r="E277" t="s">
        <v>528</v>
      </c>
      <c r="F277" s="1">
        <v>45200</v>
      </c>
      <c r="G277" t="s">
        <v>529</v>
      </c>
      <c r="H277" t="s">
        <v>530</v>
      </c>
      <c r="I277" s="59">
        <f>VLOOKUP(A277,'611'!D:F,3,FALSE)</f>
        <v>21764.880000000001</v>
      </c>
      <c r="J277" s="59">
        <f>VLOOKUP(A277,'611'!D:Q,14,FALSE)</f>
        <v>21764.880000000001</v>
      </c>
      <c r="K277" s="59">
        <f>VLOOKUP(A277,'611'!D:Q,14,FALSE)</f>
        <v>21764.880000000001</v>
      </c>
      <c r="O277" t="s">
        <v>531</v>
      </c>
      <c r="P277" t="str">
        <f>_xlfn.IFNA(VLOOKUP(A277,IndirectCost!B:L,11,FALSE),"")</f>
        <v/>
      </c>
      <c r="Q277">
        <f t="shared" si="4"/>
        <v>0</v>
      </c>
    </row>
    <row r="278" spans="1:17">
      <c r="A278" t="s">
        <v>235</v>
      </c>
      <c r="B278" t="s">
        <v>857</v>
      </c>
      <c r="C278" t="str">
        <f>VLOOKUP(A278,Districts!A:I,9,FALSE)</f>
        <v>Hackberry School District 3</v>
      </c>
      <c r="D278" t="str">
        <f>VLOOKUP(A278,Districts!A:P,16,FALSE)</f>
        <v>J9KWJSYFQJ26</v>
      </c>
      <c r="E278" t="s">
        <v>528</v>
      </c>
      <c r="F278" s="1">
        <v>45200</v>
      </c>
      <c r="G278" t="s">
        <v>529</v>
      </c>
      <c r="H278" t="s">
        <v>530</v>
      </c>
      <c r="I278" s="59">
        <f>VLOOKUP(A278,'611'!D:F,3,FALSE)</f>
        <v>14628.58</v>
      </c>
      <c r="J278" s="59">
        <f>VLOOKUP(A278,'611'!D:Q,14,FALSE)</f>
        <v>15358.63</v>
      </c>
      <c r="K278" s="59">
        <f>VLOOKUP(A278,'611'!D:Q,14,FALSE)</f>
        <v>15358.63</v>
      </c>
      <c r="O278" t="s">
        <v>531</v>
      </c>
      <c r="P278">
        <f>_xlfn.IFNA(VLOOKUP(A278,IndirectCost!B:L,11,FALSE),"")</f>
        <v>8</v>
      </c>
      <c r="Q278">
        <f t="shared" si="4"/>
        <v>0.08</v>
      </c>
    </row>
    <row r="279" spans="1:17">
      <c r="A279" t="s">
        <v>236</v>
      </c>
      <c r="B279" t="s">
        <v>858</v>
      </c>
      <c r="C279" t="str">
        <f>VLOOKUP(A279,Districts!A:I,9,FALSE)</f>
        <v>Happy Valley East</v>
      </c>
      <c r="D279" t="str">
        <f>VLOOKUP(A279,Districts!A:P,16,FALSE)</f>
        <v>YB4XFKK8A5K8</v>
      </c>
      <c r="E279" t="s">
        <v>528</v>
      </c>
      <c r="F279" s="1">
        <v>45200</v>
      </c>
      <c r="G279" t="s">
        <v>529</v>
      </c>
      <c r="H279" t="s">
        <v>530</v>
      </c>
      <c r="I279" s="59">
        <f>VLOOKUP(A279,'611'!D:F,3,FALSE)</f>
        <v>67373.850000000006</v>
      </c>
      <c r="J279" s="59">
        <f>VLOOKUP(A279,'611'!D:Q,14,FALSE)</f>
        <v>67373.850000000006</v>
      </c>
      <c r="K279" s="59">
        <f>VLOOKUP(A279,'611'!D:Q,14,FALSE)</f>
        <v>67373.850000000006</v>
      </c>
      <c r="O279" t="s">
        <v>531</v>
      </c>
      <c r="P279" t="str">
        <f>_xlfn.IFNA(VLOOKUP(A279,IndirectCost!B:L,11,FALSE),"")</f>
        <v/>
      </c>
      <c r="Q279">
        <f t="shared" si="4"/>
        <v>0</v>
      </c>
    </row>
    <row r="280" spans="1:17">
      <c r="A280" t="s">
        <v>237</v>
      </c>
      <c r="B280" t="s">
        <v>859</v>
      </c>
      <c r="C280" t="str">
        <f>VLOOKUP(A280,Districts!A:I,9,FALSE)</f>
        <v>Happy Valley School, Inc.</v>
      </c>
      <c r="D280" t="str">
        <f>VLOOKUP(A280,Districts!A:P,16,FALSE)</f>
        <v>UNZGKZMH8G61</v>
      </c>
      <c r="E280" t="s">
        <v>528</v>
      </c>
      <c r="F280" s="1">
        <v>45200</v>
      </c>
      <c r="G280" t="s">
        <v>529</v>
      </c>
      <c r="H280" t="s">
        <v>530</v>
      </c>
      <c r="I280" s="59">
        <f>VLOOKUP(A280,'611'!D:F,3,FALSE)</f>
        <v>92385.56</v>
      </c>
      <c r="J280" s="59">
        <f>VLOOKUP(A280,'611'!D:Q,14,FALSE)</f>
        <v>92385.56</v>
      </c>
      <c r="K280" s="59">
        <f>VLOOKUP(A280,'611'!D:Q,14,FALSE)</f>
        <v>92385.56</v>
      </c>
      <c r="O280" t="s">
        <v>531</v>
      </c>
      <c r="P280" t="str">
        <f>_xlfn.IFNA(VLOOKUP(A280,IndirectCost!B:L,11,FALSE),"")</f>
        <v/>
      </c>
      <c r="Q280">
        <f t="shared" si="4"/>
        <v>0</v>
      </c>
    </row>
    <row r="281" spans="1:17">
      <c r="A281" t="s">
        <v>238</v>
      </c>
      <c r="B281" t="s">
        <v>860</v>
      </c>
      <c r="C281" t="str">
        <f>VLOOKUP(A281,Districts!A:I,9,FALSE)</f>
        <v>Harvest Power Community Development Group</v>
      </c>
      <c r="D281" t="str">
        <f>VLOOKUP(A281,Districts!A:P,16,FALSE)</f>
        <v>XR7KRJABAAD8</v>
      </c>
      <c r="E281" t="s">
        <v>528</v>
      </c>
      <c r="F281" s="1">
        <v>45200</v>
      </c>
      <c r="G281" t="s">
        <v>529</v>
      </c>
      <c r="H281" t="s">
        <v>530</v>
      </c>
      <c r="I281" s="59">
        <f>VLOOKUP(A281,'611'!D:F,3,FALSE)</f>
        <v>283292</v>
      </c>
      <c r="J281" s="59">
        <f>VLOOKUP(A281,'611'!D:Q,14,FALSE)</f>
        <v>283292</v>
      </c>
      <c r="K281" s="59">
        <f>VLOOKUP(A281,'611'!D:Q,14,FALSE)</f>
        <v>283292</v>
      </c>
      <c r="O281" t="s">
        <v>531</v>
      </c>
      <c r="P281" t="str">
        <f>_xlfn.IFNA(VLOOKUP(A281,IndirectCost!B:L,11,FALSE),"")</f>
        <v/>
      </c>
      <c r="Q281">
        <f t="shared" si="4"/>
        <v>0</v>
      </c>
    </row>
    <row r="282" spans="1:17">
      <c r="A282" t="s">
        <v>239</v>
      </c>
      <c r="B282" t="s">
        <v>861</v>
      </c>
      <c r="C282" t="str">
        <f>VLOOKUP(A282,Districts!A:I,9,FALSE)</f>
        <v>Haven Montessori Children's House, Inc.</v>
      </c>
      <c r="D282" t="str">
        <f>VLOOKUP(A282,Districts!A:P,16,FALSE)</f>
        <v>MN13N1EE2PZ9</v>
      </c>
      <c r="E282" t="s">
        <v>528</v>
      </c>
      <c r="F282" s="1">
        <v>45200</v>
      </c>
      <c r="G282" t="s">
        <v>529</v>
      </c>
      <c r="H282" t="s">
        <v>530</v>
      </c>
      <c r="I282" s="59">
        <f>VLOOKUP(A282,'611'!D:F,3,FALSE)</f>
        <v>11376.46</v>
      </c>
      <c r="J282" s="59">
        <f>VLOOKUP(A282,'611'!D:Q,14,FALSE)</f>
        <v>11376.46</v>
      </c>
      <c r="K282" s="59">
        <f>VLOOKUP(A282,'611'!D:Q,14,FALSE)</f>
        <v>11376.46</v>
      </c>
      <c r="O282" t="s">
        <v>531</v>
      </c>
      <c r="P282" t="str">
        <f>_xlfn.IFNA(VLOOKUP(A282,IndirectCost!B:L,11,FALSE),"")</f>
        <v/>
      </c>
      <c r="Q282">
        <f t="shared" si="4"/>
        <v>0</v>
      </c>
    </row>
    <row r="283" spans="1:17">
      <c r="A283" t="s">
        <v>240</v>
      </c>
      <c r="B283" t="s">
        <v>862</v>
      </c>
      <c r="C283" t="str">
        <f>VLOOKUP(A283,Districts!A:I,9,FALSE)</f>
        <v>Hayden-Winkelman Unified School District</v>
      </c>
      <c r="D283" t="str">
        <f>VLOOKUP(A283,Districts!A:P,16,FALSE)</f>
        <v>VJ4KJEDF1563</v>
      </c>
      <c r="E283" t="s">
        <v>528</v>
      </c>
      <c r="F283" s="1">
        <v>45200</v>
      </c>
      <c r="G283" t="s">
        <v>529</v>
      </c>
      <c r="H283" t="s">
        <v>530</v>
      </c>
      <c r="I283" s="59">
        <f>VLOOKUP(A283,'611'!D:F,3,FALSE)</f>
        <v>72143.58</v>
      </c>
      <c r="J283" s="59">
        <f>VLOOKUP(A283,'611'!D:Q,14,FALSE)</f>
        <v>74416.58</v>
      </c>
      <c r="K283" s="59">
        <f>VLOOKUP(A283,'611'!D:Q,14,FALSE)</f>
        <v>74416.58</v>
      </c>
      <c r="O283" t="s">
        <v>531</v>
      </c>
      <c r="P283">
        <f>_xlfn.IFNA(VLOOKUP(A283,IndirectCost!B:L,11,FALSE),"")</f>
        <v>4.3600000000000003</v>
      </c>
      <c r="Q283">
        <f t="shared" si="4"/>
        <v>4.36E-2</v>
      </c>
    </row>
    <row r="284" spans="1:17">
      <c r="A284" t="s">
        <v>241</v>
      </c>
      <c r="B284" t="s">
        <v>863</v>
      </c>
      <c r="C284" t="str">
        <f>VLOOKUP(A284,Districts!A:I,9,FALSE)</f>
        <v>Heartwood AZ</v>
      </c>
      <c r="D284" t="str">
        <f>VLOOKUP(A284,Districts!A:P,16,FALSE)</f>
        <v>HVTBRV2L7MU3</v>
      </c>
      <c r="E284" t="s">
        <v>528</v>
      </c>
      <c r="F284" s="1">
        <v>45200</v>
      </c>
      <c r="G284" t="s">
        <v>529</v>
      </c>
      <c r="H284" t="s">
        <v>530</v>
      </c>
      <c r="I284" s="59">
        <f>VLOOKUP(A284,'611'!D:F,3,FALSE)</f>
        <v>23804.48</v>
      </c>
      <c r="J284" s="59">
        <f>VLOOKUP(A284,'611'!D:Q,14,FALSE)</f>
        <v>23804.48</v>
      </c>
      <c r="K284" s="59">
        <f>VLOOKUP(A284,'611'!D:Q,14,FALSE)</f>
        <v>23804.48</v>
      </c>
      <c r="O284" t="s">
        <v>531</v>
      </c>
      <c r="P284">
        <f>_xlfn.IFNA(VLOOKUP(A284,IndirectCost!B:L,11,FALSE),"")</f>
        <v>0</v>
      </c>
      <c r="Q284">
        <f t="shared" si="4"/>
        <v>0</v>
      </c>
    </row>
    <row r="285" spans="1:17">
      <c r="A285" t="s">
        <v>242</v>
      </c>
      <c r="B285" t="s">
        <v>864</v>
      </c>
      <c r="C285" t="str">
        <f>VLOOKUP(A285,Districts!A:I,9,FALSE)</f>
        <v>HEBER-OVERGAARD UNIFIED SCHOOL DISTRICT</v>
      </c>
      <c r="D285" t="str">
        <f>VLOOKUP(A285,Districts!A:P,16,FALSE)</f>
        <v>FJJNXDG3Y9X5</v>
      </c>
      <c r="E285" t="s">
        <v>528</v>
      </c>
      <c r="F285" s="1">
        <v>45200</v>
      </c>
      <c r="G285" t="s">
        <v>529</v>
      </c>
      <c r="H285" t="s">
        <v>530</v>
      </c>
      <c r="I285" s="59">
        <f>VLOOKUP(A285,'611'!D:F,3,FALSE)</f>
        <v>112550.84</v>
      </c>
      <c r="J285" s="59">
        <f>VLOOKUP(A285,'611'!D:Q,14,FALSE)</f>
        <v>135240.76999999999</v>
      </c>
      <c r="K285" s="59">
        <f>VLOOKUP(A285,'611'!D:Q,14,FALSE)</f>
        <v>135240.76999999999</v>
      </c>
      <c r="O285" t="s">
        <v>531</v>
      </c>
      <c r="P285" t="str">
        <f>_xlfn.IFNA(VLOOKUP(A285,IndirectCost!B:L,11,FALSE),"")</f>
        <v/>
      </c>
      <c r="Q285">
        <f t="shared" si="4"/>
        <v>0</v>
      </c>
    </row>
    <row r="286" spans="1:17">
      <c r="A286" t="s">
        <v>243</v>
      </c>
      <c r="B286" t="s">
        <v>865</v>
      </c>
      <c r="C286" t="str">
        <f>VLOOKUP(A286,Districts!A:I,9,FALSE)</f>
        <v>Heritage Academy Queen Creek, Inc   dba  Heritage Academy Gateway</v>
      </c>
      <c r="D286" t="str">
        <f>VLOOKUP(A286,Districts!A:P,16,FALSE)</f>
        <v>U9M7MM2WTJK3</v>
      </c>
      <c r="E286" t="s">
        <v>528</v>
      </c>
      <c r="F286" s="1">
        <v>45200</v>
      </c>
      <c r="G286" t="s">
        <v>529</v>
      </c>
      <c r="H286" t="s">
        <v>530</v>
      </c>
      <c r="I286" s="59">
        <f>VLOOKUP(A286,'611'!D:F,3,FALSE)</f>
        <v>175587.82</v>
      </c>
      <c r="J286" s="59">
        <f>VLOOKUP(A286,'611'!D:Q,14,FALSE)</f>
        <v>175587.82</v>
      </c>
      <c r="K286" s="59">
        <f>VLOOKUP(A286,'611'!D:Q,14,FALSE)</f>
        <v>175587.82</v>
      </c>
      <c r="O286" t="s">
        <v>531</v>
      </c>
      <c r="P286" t="str">
        <f>_xlfn.IFNA(VLOOKUP(A286,IndirectCost!B:L,11,FALSE),"")</f>
        <v/>
      </c>
      <c r="Q286">
        <f t="shared" si="4"/>
        <v>0</v>
      </c>
    </row>
    <row r="287" spans="1:17">
      <c r="A287" t="s">
        <v>866</v>
      </c>
      <c r="B287" t="s">
        <v>867</v>
      </c>
      <c r="C287" t="str">
        <f>VLOOKUP(A287,Districts!A:I,9,FALSE)</f>
        <v>Heritage Academy Laveen, Inc.</v>
      </c>
      <c r="D287" t="str">
        <f>VLOOKUP(A287,Districts!A:P,16,FALSE)</f>
        <v>CAH6Q884LVX5</v>
      </c>
      <c r="E287" t="s">
        <v>528</v>
      </c>
      <c r="F287" s="1">
        <v>45200</v>
      </c>
      <c r="G287" t="s">
        <v>529</v>
      </c>
      <c r="H287" t="s">
        <v>530</v>
      </c>
      <c r="I287" s="59">
        <f>VLOOKUP(A287,'611'!D:F,3,FALSE)</f>
        <v>87064.16</v>
      </c>
      <c r="J287" s="59">
        <f>VLOOKUP(A287,'611'!D:Q,14,FALSE)</f>
        <v>87064.16</v>
      </c>
      <c r="K287" s="59">
        <f>VLOOKUP(A287,'611'!D:Q,14,FALSE)</f>
        <v>87064.16</v>
      </c>
      <c r="O287" t="s">
        <v>531</v>
      </c>
      <c r="P287" t="str">
        <f>_xlfn.IFNA(VLOOKUP(A287,IndirectCost!B:L,11,FALSE),"")</f>
        <v/>
      </c>
      <c r="Q287">
        <f t="shared" si="4"/>
        <v>0</v>
      </c>
    </row>
    <row r="288" spans="1:17">
      <c r="A288" t="s">
        <v>868</v>
      </c>
      <c r="B288" t="s">
        <v>869</v>
      </c>
      <c r="C288" t="str">
        <f>VLOOKUP(A288,Districts!A:I,9,FALSE)</f>
        <v>Heritage Academy, Inc.</v>
      </c>
      <c r="D288" t="str">
        <f>VLOOKUP(A288,Districts!A:P,16,FALSE)</f>
        <v>VFMCD7WANWM9</v>
      </c>
      <c r="E288" t="s">
        <v>528</v>
      </c>
      <c r="F288" s="1">
        <v>45200</v>
      </c>
      <c r="G288" t="s">
        <v>529</v>
      </c>
      <c r="H288" t="s">
        <v>530</v>
      </c>
      <c r="I288" s="59">
        <f>VLOOKUP(A288,'611'!D:F,3,FALSE)</f>
        <v>215812.59</v>
      </c>
      <c r="J288" s="59">
        <f>VLOOKUP(A288,'611'!D:Q,14,FALSE)</f>
        <v>215812.59</v>
      </c>
      <c r="K288" s="59">
        <f>VLOOKUP(A288,'611'!D:Q,14,FALSE)</f>
        <v>215812.59</v>
      </c>
      <c r="O288" t="s">
        <v>531</v>
      </c>
      <c r="P288" t="str">
        <f>_xlfn.IFNA(VLOOKUP(A288,IndirectCost!B:L,11,FALSE),"")</f>
        <v/>
      </c>
      <c r="Q288">
        <f t="shared" si="4"/>
        <v>0</v>
      </c>
    </row>
    <row r="289" spans="1:17">
      <c r="A289" t="s">
        <v>244</v>
      </c>
      <c r="B289" t="s">
        <v>870</v>
      </c>
      <c r="C289" t="str">
        <f>VLOOKUP(A289,Districts!A:I,9,FALSE)</f>
        <v>LIBERTY TRADITIONAL CHARTER SCHOOL INC</v>
      </c>
      <c r="D289" t="str">
        <f>VLOOKUP(A289,Districts!A:P,16,FALSE)</f>
        <v>LM1BJV9EJVX9</v>
      </c>
      <c r="E289" t="s">
        <v>528</v>
      </c>
      <c r="F289" s="1">
        <v>45200</v>
      </c>
      <c r="G289" t="s">
        <v>529</v>
      </c>
      <c r="H289" t="s">
        <v>530</v>
      </c>
      <c r="I289" s="59">
        <f>VLOOKUP(A289,'611'!D:F,3,FALSE)</f>
        <v>145489.66</v>
      </c>
      <c r="J289" s="59">
        <f>VLOOKUP(A289,'611'!D:Q,14,FALSE)</f>
        <v>145489.66</v>
      </c>
      <c r="K289" s="59">
        <f>VLOOKUP(A289,'611'!D:Q,14,FALSE)</f>
        <v>145489.66</v>
      </c>
      <c r="O289" t="s">
        <v>531</v>
      </c>
      <c r="P289" t="str">
        <f>_xlfn.IFNA(VLOOKUP(A289,IndirectCost!B:L,11,FALSE),"")</f>
        <v/>
      </c>
      <c r="Q289">
        <f t="shared" si="4"/>
        <v>0</v>
      </c>
    </row>
    <row r="290" spans="1:17">
      <c r="A290" t="s">
        <v>245</v>
      </c>
      <c r="B290" t="s">
        <v>871</v>
      </c>
      <c r="C290" t="str">
        <f>VLOOKUP(A290,Districts!A:I,9,FALSE)</f>
        <v>Hermosa Montessori School</v>
      </c>
      <c r="D290" t="str">
        <f>VLOOKUP(A290,Districts!A:P,16,FALSE)</f>
        <v>CZJQRNL4MYW3</v>
      </c>
      <c r="E290" t="s">
        <v>528</v>
      </c>
      <c r="F290" s="1">
        <v>45200</v>
      </c>
      <c r="G290" t="s">
        <v>529</v>
      </c>
      <c r="H290" t="s">
        <v>530</v>
      </c>
      <c r="I290" s="59">
        <f>VLOOKUP(A290,'611'!D:F,3,FALSE)</f>
        <v>36284.57</v>
      </c>
      <c r="J290" s="59">
        <f>VLOOKUP(A290,'611'!D:Q,14,FALSE)</f>
        <v>36284.57</v>
      </c>
      <c r="K290" s="59">
        <f>VLOOKUP(A290,'611'!D:Q,14,FALSE)</f>
        <v>36284.57</v>
      </c>
      <c r="O290" t="s">
        <v>531</v>
      </c>
      <c r="P290" t="str">
        <f>_xlfn.IFNA(VLOOKUP(A290,IndirectCost!B:L,11,FALSE),"")</f>
        <v/>
      </c>
      <c r="Q290">
        <f t="shared" si="4"/>
        <v>0</v>
      </c>
    </row>
    <row r="291" spans="1:17">
      <c r="A291" t="s">
        <v>246</v>
      </c>
      <c r="B291" t="s">
        <v>872</v>
      </c>
      <c r="C291" t="str">
        <f>VLOOKUP(A291,Districts!A:I,9,FALSE)</f>
        <v>Highland Free School Fund, Inc</v>
      </c>
      <c r="D291" t="str">
        <f>VLOOKUP(A291,Districts!A:P,16,FALSE)</f>
        <v>L8UKNK18QBX6</v>
      </c>
      <c r="E291" t="s">
        <v>528</v>
      </c>
      <c r="F291" s="1">
        <v>45200</v>
      </c>
      <c r="G291" t="s">
        <v>529</v>
      </c>
      <c r="H291" t="s">
        <v>530</v>
      </c>
      <c r="I291" s="59">
        <f>VLOOKUP(A291,'611'!D:F,3,FALSE)</f>
        <v>7235.48</v>
      </c>
      <c r="J291" s="59">
        <f>VLOOKUP(A291,'611'!D:Q,14,FALSE)</f>
        <v>14463.06</v>
      </c>
      <c r="K291" s="59">
        <f>VLOOKUP(A291,'611'!D:Q,14,FALSE)</f>
        <v>14463.06</v>
      </c>
      <c r="O291" t="s">
        <v>531</v>
      </c>
      <c r="P291">
        <f>_xlfn.IFNA(VLOOKUP(A291,IndirectCost!B:L,11,FALSE),"")</f>
        <v>0</v>
      </c>
      <c r="Q291">
        <f t="shared" si="4"/>
        <v>0</v>
      </c>
    </row>
    <row r="292" spans="1:17">
      <c r="A292" t="s">
        <v>873</v>
      </c>
      <c r="B292" t="s">
        <v>874</v>
      </c>
      <c r="C292" t="str">
        <f>VLOOKUP(A292,Districts!A:I,9,FALSE)</f>
        <v>Highland Prep</v>
      </c>
      <c r="D292" t="str">
        <f>VLOOKUP(A292,Districts!A:P,16,FALSE)</f>
        <v>KFBNM94MP353</v>
      </c>
      <c r="E292" t="s">
        <v>528</v>
      </c>
      <c r="F292" s="1">
        <v>45200</v>
      </c>
      <c r="G292" t="s">
        <v>529</v>
      </c>
      <c r="H292" t="s">
        <v>530</v>
      </c>
      <c r="I292" s="59">
        <f>VLOOKUP(A292,'611'!D:F,3,FALSE)</f>
        <v>83370.740000000005</v>
      </c>
      <c r="J292" s="59">
        <f>VLOOKUP(A292,'611'!D:Q,14,FALSE)</f>
        <v>96370.74</v>
      </c>
      <c r="K292" s="59">
        <f>VLOOKUP(A292,'611'!D:Q,14,FALSE)</f>
        <v>96370.74</v>
      </c>
      <c r="O292" t="s">
        <v>531</v>
      </c>
      <c r="P292" t="str">
        <f>_xlfn.IFNA(VLOOKUP(A292,IndirectCost!B:L,11,FALSE),"")</f>
        <v/>
      </c>
      <c r="Q292">
        <f t="shared" si="4"/>
        <v>0</v>
      </c>
    </row>
    <row r="293" spans="1:17">
      <c r="A293" t="s">
        <v>247</v>
      </c>
      <c r="B293" t="s">
        <v>875</v>
      </c>
      <c r="C293" t="str">
        <f>VLOOKUP(A293,Districts!A:I,9,FALSE)</f>
        <v>Higley Unified School District</v>
      </c>
      <c r="D293" t="str">
        <f>VLOOKUP(A293,Districts!A:P,16,FALSE)</f>
        <v>NC5CF1GYY621</v>
      </c>
      <c r="E293" t="s">
        <v>528</v>
      </c>
      <c r="F293" s="1">
        <v>45200</v>
      </c>
      <c r="G293" t="s">
        <v>529</v>
      </c>
      <c r="H293" t="s">
        <v>530</v>
      </c>
      <c r="I293" s="59">
        <f>VLOOKUP(A293,'611'!D:F,3,FALSE)</f>
        <v>2226483.34</v>
      </c>
      <c r="J293" s="59">
        <f>VLOOKUP(A293,'611'!D:Q,14,FALSE)</f>
        <v>2483577.04</v>
      </c>
      <c r="K293" s="59">
        <f>VLOOKUP(A293,'611'!D:Q,14,FALSE)</f>
        <v>2483577.04</v>
      </c>
      <c r="O293" t="s">
        <v>531</v>
      </c>
      <c r="P293">
        <f>_xlfn.IFNA(VLOOKUP(A293,IndirectCost!B:L,11,FALSE),"")</f>
        <v>8</v>
      </c>
      <c r="Q293">
        <f t="shared" si="4"/>
        <v>0.08</v>
      </c>
    </row>
    <row r="294" spans="1:17">
      <c r="A294" t="s">
        <v>248</v>
      </c>
      <c r="B294" t="s">
        <v>876</v>
      </c>
      <c r="C294" t="str">
        <f>VLOOKUP(A294,Districts!A:I,9,FALSE)</f>
        <v>Hillside School District 35</v>
      </c>
      <c r="D294" t="str">
        <f>VLOOKUP(A294,Districts!A:P,16,FALSE)</f>
        <v>L5Z8GXF6FNL7</v>
      </c>
      <c r="E294" t="s">
        <v>528</v>
      </c>
      <c r="F294" s="1">
        <v>45200</v>
      </c>
      <c r="G294" t="s">
        <v>529</v>
      </c>
      <c r="H294" t="s">
        <v>530</v>
      </c>
      <c r="I294" s="59">
        <f>VLOOKUP(A294,'611'!D:F,3,FALSE)</f>
        <v>3120.79</v>
      </c>
      <c r="J294" s="59">
        <f>VLOOKUP(A294,'611'!D:Q,14,FALSE)</f>
        <v>0</v>
      </c>
      <c r="K294" s="59">
        <f>VLOOKUP(A294,'611'!D:Q,14,FALSE)</f>
        <v>0</v>
      </c>
      <c r="O294" t="s">
        <v>531</v>
      </c>
      <c r="P294" t="str">
        <f>_xlfn.IFNA(VLOOKUP(A294,IndirectCost!B:L,11,FALSE),"")</f>
        <v/>
      </c>
      <c r="Q294">
        <f t="shared" si="4"/>
        <v>0</v>
      </c>
    </row>
    <row r="295" spans="1:17">
      <c r="A295" t="s">
        <v>249</v>
      </c>
      <c r="B295" t="s">
        <v>877</v>
      </c>
      <c r="C295" t="str">
        <f>VLOOKUP(A295,Districts!A:I,9,FALSE)</f>
        <v>Hirsch Academy A Challenge Foundation Academy Inc</v>
      </c>
      <c r="D295" t="str">
        <f>VLOOKUP(A295,Districts!A:P,16,FALSE)</f>
        <v>WR93NMCH2UB3</v>
      </c>
      <c r="E295" t="s">
        <v>528</v>
      </c>
      <c r="F295" s="1">
        <v>45200</v>
      </c>
      <c r="G295" t="s">
        <v>529</v>
      </c>
      <c r="H295" t="s">
        <v>530</v>
      </c>
      <c r="I295" s="59">
        <f>VLOOKUP(A295,'611'!D:F,3,FALSE)</f>
        <v>32335.06</v>
      </c>
      <c r="J295" s="59">
        <f>VLOOKUP(A295,'611'!D:Q,14,FALSE)</f>
        <v>32335.06</v>
      </c>
      <c r="K295" s="59">
        <f>VLOOKUP(A295,'611'!D:Q,14,FALSE)</f>
        <v>32335.06</v>
      </c>
      <c r="O295" t="s">
        <v>531</v>
      </c>
      <c r="P295" t="str">
        <f>_xlfn.IFNA(VLOOKUP(A295,IndirectCost!B:L,11,FALSE),"")</f>
        <v/>
      </c>
      <c r="Q295">
        <f t="shared" si="4"/>
        <v>0</v>
      </c>
    </row>
    <row r="296" spans="1:17">
      <c r="A296" t="s">
        <v>250</v>
      </c>
      <c r="B296" t="s">
        <v>878</v>
      </c>
      <c r="C296" t="str">
        <f>VLOOKUP(A296,Districts!A:I,9,FALSE)</f>
        <v>Holbrook School District 3</v>
      </c>
      <c r="D296" t="str">
        <f>VLOOKUP(A296,Districts!A:P,16,FALSE)</f>
        <v>R2AMYB5LKG65</v>
      </c>
      <c r="E296" t="s">
        <v>528</v>
      </c>
      <c r="F296" s="1">
        <v>45200</v>
      </c>
      <c r="G296" t="s">
        <v>529</v>
      </c>
      <c r="H296" t="s">
        <v>530</v>
      </c>
      <c r="I296" s="59">
        <f>VLOOKUP(A296,'611'!D:F,3,FALSE)</f>
        <v>421782.67</v>
      </c>
      <c r="J296" s="59">
        <f>VLOOKUP(A296,'611'!D:Q,14,FALSE)</f>
        <v>421782.67</v>
      </c>
      <c r="K296" s="59">
        <f>VLOOKUP(A296,'611'!D:Q,14,FALSE)</f>
        <v>421782.67</v>
      </c>
      <c r="O296" t="s">
        <v>531</v>
      </c>
      <c r="P296">
        <f>_xlfn.IFNA(VLOOKUP(A296,IndirectCost!B:L,11,FALSE),"")</f>
        <v>2.79</v>
      </c>
      <c r="Q296">
        <f t="shared" si="4"/>
        <v>2.7900000000000001E-2</v>
      </c>
    </row>
    <row r="297" spans="1:17">
      <c r="A297" t="s">
        <v>879</v>
      </c>
      <c r="B297" t="s">
        <v>880</v>
      </c>
      <c r="C297" t="str">
        <f>VLOOKUP(A297,Districts!A:I,9,FALSE)</f>
        <v>Horizon Community Learning Center</v>
      </c>
      <c r="D297" t="str">
        <f>VLOOKUP(A297,Districts!A:P,16,FALSE)</f>
        <v>VBSJN8J4V2Y7</v>
      </c>
      <c r="E297" t="s">
        <v>528</v>
      </c>
      <c r="F297" s="1">
        <v>45200</v>
      </c>
      <c r="G297" t="s">
        <v>529</v>
      </c>
      <c r="H297" t="s">
        <v>530</v>
      </c>
      <c r="I297" s="59">
        <f>VLOOKUP(A297,'611'!D:F,3,FALSE)</f>
        <v>118424.68</v>
      </c>
      <c r="J297" s="59">
        <f>VLOOKUP(A297,'611'!D:Q,14,FALSE)</f>
        <v>142589</v>
      </c>
      <c r="K297" s="59">
        <f>VLOOKUP(A297,'611'!D:Q,14,FALSE)</f>
        <v>142589</v>
      </c>
      <c r="O297" t="s">
        <v>531</v>
      </c>
      <c r="P297" t="str">
        <f>_xlfn.IFNA(VLOOKUP(A297,IndirectCost!B:L,11,FALSE),"")</f>
        <v/>
      </c>
      <c r="Q297">
        <f t="shared" si="4"/>
        <v>0</v>
      </c>
    </row>
    <row r="298" spans="1:17">
      <c r="A298" t="s">
        <v>251</v>
      </c>
      <c r="B298" t="s">
        <v>880</v>
      </c>
      <c r="C298" t="str">
        <f>VLOOKUP(A298,Districts!A:I,9,FALSE)</f>
        <v>Horizon Community Learning Center</v>
      </c>
      <c r="D298" t="str">
        <f>VLOOKUP(A298,Districts!A:P,16,FALSE)</f>
        <v>VBSJN8J4V2Y7</v>
      </c>
      <c r="E298" t="s">
        <v>528</v>
      </c>
      <c r="F298" s="1">
        <v>45200</v>
      </c>
      <c r="G298" t="s">
        <v>529</v>
      </c>
      <c r="H298" t="s">
        <v>530</v>
      </c>
      <c r="I298" s="59">
        <f>VLOOKUP(A298,'611'!D:F,3,FALSE)</f>
        <v>131684.94</v>
      </c>
      <c r="J298" s="59">
        <f>VLOOKUP(A298,'611'!D:Q,14,FALSE)</f>
        <v>239558.79</v>
      </c>
      <c r="K298" s="59">
        <f>VLOOKUP(A298,'611'!D:Q,14,FALSE)</f>
        <v>239558.79</v>
      </c>
      <c r="O298" t="s">
        <v>531</v>
      </c>
      <c r="P298" t="str">
        <f>_xlfn.IFNA(VLOOKUP(A298,IndirectCost!B:L,11,FALSE),"")</f>
        <v/>
      </c>
      <c r="Q298">
        <f t="shared" si="4"/>
        <v>0</v>
      </c>
    </row>
    <row r="299" spans="1:17">
      <c r="A299" t="s">
        <v>252</v>
      </c>
      <c r="B299" t="s">
        <v>881</v>
      </c>
      <c r="C299" t="str">
        <f>VLOOKUP(A299,Districts!A:I,9,FALSE)</f>
        <v>County of Yavapai HUMBOLDT UNIFIED SCHOOL DISTRICT 22</v>
      </c>
      <c r="D299" t="str">
        <f>VLOOKUP(A299,Districts!A:P,16,FALSE)</f>
        <v>QEC1W7F1MGG6</v>
      </c>
      <c r="E299" t="s">
        <v>528</v>
      </c>
      <c r="F299" s="1">
        <v>45200</v>
      </c>
      <c r="G299" t="s">
        <v>529</v>
      </c>
      <c r="H299" t="s">
        <v>530</v>
      </c>
      <c r="I299" s="59">
        <f>VLOOKUP(A299,'611'!D:F,3,FALSE)</f>
        <v>1274359.8899999999</v>
      </c>
      <c r="J299" s="59">
        <f>VLOOKUP(A299,'611'!D:Q,14,FALSE)</f>
        <v>2236009.38</v>
      </c>
      <c r="K299" s="59">
        <f>VLOOKUP(A299,'611'!D:Q,14,FALSE)</f>
        <v>2236009.38</v>
      </c>
      <c r="O299" t="s">
        <v>531</v>
      </c>
      <c r="P299">
        <f>_xlfn.IFNA(VLOOKUP(A299,IndirectCost!B:L,11,FALSE),"")</f>
        <v>4.2300000000000004</v>
      </c>
      <c r="Q299">
        <f t="shared" si="4"/>
        <v>4.2300000000000004E-2</v>
      </c>
    </row>
    <row r="300" spans="1:17">
      <c r="A300" t="s">
        <v>253</v>
      </c>
      <c r="B300" t="s">
        <v>882</v>
      </c>
      <c r="C300" t="str">
        <f>VLOOKUP(A300,Districts!A:I,9,FALSE)</f>
        <v>HYDER ELEMENTARY SCHOOL DISTRICT 16 DBA Dateland Elementary School</v>
      </c>
      <c r="D300" t="str">
        <f>VLOOKUP(A300,Districts!A:P,16,FALSE)</f>
        <v>MYM2CJLMKWP9</v>
      </c>
      <c r="E300" t="s">
        <v>528</v>
      </c>
      <c r="F300" s="1">
        <v>45200</v>
      </c>
      <c r="G300" t="s">
        <v>529</v>
      </c>
      <c r="H300" t="s">
        <v>530</v>
      </c>
      <c r="I300" s="59">
        <f>VLOOKUP(A300,'611'!D:F,3,FALSE)</f>
        <v>22554.54</v>
      </c>
      <c r="J300" s="59">
        <f>VLOOKUP(A300,'611'!D:Q,14,FALSE)</f>
        <v>22554.54</v>
      </c>
      <c r="K300" s="59">
        <f>VLOOKUP(A300,'611'!D:Q,14,FALSE)</f>
        <v>22554.54</v>
      </c>
      <c r="O300" t="s">
        <v>531</v>
      </c>
      <c r="P300">
        <f>_xlfn.IFNA(VLOOKUP(A300,IndirectCost!B:L,11,FALSE),"")</f>
        <v>0</v>
      </c>
      <c r="Q300">
        <f t="shared" si="4"/>
        <v>0</v>
      </c>
    </row>
    <row r="301" spans="1:17">
      <c r="A301" t="s">
        <v>254</v>
      </c>
      <c r="B301" t="s">
        <v>883</v>
      </c>
      <c r="C301" t="str">
        <f>VLOOKUP(A301,Districts!A:I,9,FALSE)</f>
        <v>Imagine Elementary at Avondale, LLC</v>
      </c>
      <c r="D301" t="str">
        <f>VLOOKUP(A301,Districts!A:P,16,FALSE)</f>
        <v>VKVEXKTDKMJ6</v>
      </c>
      <c r="E301" t="s">
        <v>528</v>
      </c>
      <c r="F301" s="1">
        <v>45200</v>
      </c>
      <c r="G301" t="s">
        <v>529</v>
      </c>
      <c r="H301" t="s">
        <v>530</v>
      </c>
      <c r="I301" s="59">
        <f>VLOOKUP(A301,'611'!D:F,3,FALSE)</f>
        <v>73804.94</v>
      </c>
      <c r="J301" s="59">
        <f>VLOOKUP(A301,'611'!D:Q,14,FALSE)</f>
        <v>73804.94</v>
      </c>
      <c r="K301" s="59">
        <f>VLOOKUP(A301,'611'!D:Q,14,FALSE)</f>
        <v>73804.94</v>
      </c>
      <c r="O301" t="s">
        <v>531</v>
      </c>
      <c r="P301" t="str">
        <f>_xlfn.IFNA(VLOOKUP(A301,IndirectCost!B:L,11,FALSE),"")</f>
        <v/>
      </c>
      <c r="Q301">
        <f t="shared" si="4"/>
        <v>0</v>
      </c>
    </row>
    <row r="302" spans="1:17">
      <c r="A302" t="s">
        <v>884</v>
      </c>
      <c r="B302" t="s">
        <v>885</v>
      </c>
      <c r="C302" t="str">
        <f>VLOOKUP(A302,Districts!A:I,9,FALSE)</f>
        <v>Imagine Middle at Avondale, LLC.</v>
      </c>
      <c r="D302" t="str">
        <f>VLOOKUP(A302,Districts!A:P,16,FALSE)</f>
        <v>Q31MRYLUAP57</v>
      </c>
      <c r="E302" t="s">
        <v>528</v>
      </c>
      <c r="F302" s="1">
        <v>45200</v>
      </c>
      <c r="G302" t="s">
        <v>529</v>
      </c>
      <c r="H302" t="s">
        <v>530</v>
      </c>
      <c r="I302" s="59">
        <f>VLOOKUP(A302,'611'!D:F,3,FALSE)</f>
        <v>34923.480000000003</v>
      </c>
      <c r="J302" s="59">
        <f>VLOOKUP(A302,'611'!D:Q,14,FALSE)</f>
        <v>46569.120000000003</v>
      </c>
      <c r="K302" s="59">
        <f>VLOOKUP(A302,'611'!D:Q,14,FALSE)</f>
        <v>46569.120000000003</v>
      </c>
      <c r="O302" t="s">
        <v>531</v>
      </c>
      <c r="P302" t="str">
        <f>_xlfn.IFNA(VLOOKUP(A302,IndirectCost!B:L,11,FALSE),"")</f>
        <v/>
      </c>
      <c r="Q302">
        <f t="shared" si="4"/>
        <v>0</v>
      </c>
    </row>
    <row r="303" spans="1:17">
      <c r="A303" t="s">
        <v>886</v>
      </c>
      <c r="B303" t="s">
        <v>887</v>
      </c>
      <c r="C303" t="str">
        <f>VLOOKUP(A303,Districts!A:I,9,FALSE)</f>
        <v>Imagine Middle School</v>
      </c>
      <c r="D303" t="str">
        <f>VLOOKUP(A303,Districts!A:P,16,FALSE)</f>
        <v>RJS4M7QN5VU5</v>
      </c>
      <c r="E303" t="s">
        <v>528</v>
      </c>
      <c r="F303" s="1">
        <v>45200</v>
      </c>
      <c r="G303" t="s">
        <v>529</v>
      </c>
      <c r="H303" t="s">
        <v>530</v>
      </c>
      <c r="I303" s="59">
        <f>VLOOKUP(A303,'611'!D:F,3,FALSE)</f>
        <v>29913.4</v>
      </c>
      <c r="J303" s="59">
        <f>VLOOKUP(A303,'611'!D:Q,14,FALSE)</f>
        <v>44573.06</v>
      </c>
      <c r="K303" s="59">
        <f>VLOOKUP(A303,'611'!D:Q,14,FALSE)</f>
        <v>44573.06</v>
      </c>
      <c r="O303" t="s">
        <v>531</v>
      </c>
      <c r="P303" t="str">
        <f>_xlfn.IFNA(VLOOKUP(A303,IndirectCost!B:L,11,FALSE),"")</f>
        <v/>
      </c>
      <c r="Q303">
        <f t="shared" si="4"/>
        <v>0</v>
      </c>
    </row>
    <row r="304" spans="1:17">
      <c r="A304" t="s">
        <v>255</v>
      </c>
      <c r="B304" t="s">
        <v>888</v>
      </c>
      <c r="C304" t="str">
        <f>VLOOKUP(A304,Districts!A:I,9,FALSE)</f>
        <v>Imagine Elementary at Camelback</v>
      </c>
      <c r="D304" t="str">
        <f>VLOOKUP(A304,Districts!A:P,16,FALSE)</f>
        <v>YAMLT5XCL7R4</v>
      </c>
      <c r="E304" t="s">
        <v>528</v>
      </c>
      <c r="F304" s="1">
        <v>45200</v>
      </c>
      <c r="G304" t="s">
        <v>529</v>
      </c>
      <c r="H304" t="s">
        <v>530</v>
      </c>
      <c r="I304" s="59">
        <f>VLOOKUP(A304,'611'!D:F,3,FALSE)</f>
        <v>63754.78</v>
      </c>
      <c r="J304" s="59">
        <f>VLOOKUP(A304,'611'!D:Q,14,FALSE)</f>
        <v>63754.78</v>
      </c>
      <c r="K304" s="59">
        <f>VLOOKUP(A304,'611'!D:Q,14,FALSE)</f>
        <v>63754.78</v>
      </c>
      <c r="O304" t="s">
        <v>531</v>
      </c>
      <c r="P304" t="str">
        <f>_xlfn.IFNA(VLOOKUP(A304,IndirectCost!B:L,11,FALSE),"")</f>
        <v/>
      </c>
      <c r="Q304">
        <f t="shared" si="4"/>
        <v>0</v>
      </c>
    </row>
    <row r="305" spans="1:17">
      <c r="A305" t="s">
        <v>256</v>
      </c>
      <c r="B305" t="s">
        <v>889</v>
      </c>
      <c r="C305" t="str">
        <f>VLOOKUP(A305,Districts!A:I,9,FALSE)</f>
        <v>Imagine Charter Elementary at Desert West Inc</v>
      </c>
      <c r="D305" t="str">
        <f>VLOOKUP(A305,Districts!A:P,16,FALSE)</f>
        <v>LFQAUH9Q5MB6</v>
      </c>
      <c r="E305" t="s">
        <v>528</v>
      </c>
      <c r="F305" s="1">
        <v>45200</v>
      </c>
      <c r="G305" t="s">
        <v>529</v>
      </c>
      <c r="H305" t="s">
        <v>530</v>
      </c>
      <c r="I305" s="59">
        <f>VLOOKUP(A305,'611'!D:F,3,FALSE)</f>
        <v>125272.15</v>
      </c>
      <c r="J305" s="59">
        <f>VLOOKUP(A305,'611'!D:Q,14,FALSE)</f>
        <v>213499.09</v>
      </c>
      <c r="K305" s="59">
        <f>VLOOKUP(A305,'611'!D:Q,14,FALSE)</f>
        <v>213499.09</v>
      </c>
      <c r="O305" t="s">
        <v>531</v>
      </c>
      <c r="P305" t="str">
        <f>_xlfn.IFNA(VLOOKUP(A305,IndirectCost!B:L,11,FALSE),"")</f>
        <v/>
      </c>
      <c r="Q305">
        <f t="shared" si="4"/>
        <v>0</v>
      </c>
    </row>
    <row r="306" spans="1:17">
      <c r="A306" t="s">
        <v>257</v>
      </c>
      <c r="B306" t="s">
        <v>890</v>
      </c>
      <c r="C306" t="str">
        <f>VLOOKUP(A306,Districts!A:I,9,FALSE)</f>
        <v>Imagine Coolidge Elementary , Inc</v>
      </c>
      <c r="D306" t="str">
        <f>VLOOKUP(A306,Districts!A:P,16,FALSE)</f>
        <v>P1LCEWCRZK65</v>
      </c>
      <c r="E306" t="s">
        <v>528</v>
      </c>
      <c r="F306" s="1">
        <v>45200</v>
      </c>
      <c r="G306" t="s">
        <v>529</v>
      </c>
      <c r="H306" t="s">
        <v>530</v>
      </c>
      <c r="I306" s="59">
        <f>VLOOKUP(A306,'611'!D:F,3,FALSE)</f>
        <v>116195.1</v>
      </c>
      <c r="J306" s="59">
        <f>VLOOKUP(A306,'611'!D:Q,14,FALSE)</f>
        <v>116195.1</v>
      </c>
      <c r="K306" s="59">
        <f>VLOOKUP(A306,'611'!D:Q,14,FALSE)</f>
        <v>116195.1</v>
      </c>
      <c r="O306" t="s">
        <v>531</v>
      </c>
      <c r="P306" t="str">
        <f>_xlfn.IFNA(VLOOKUP(A306,IndirectCost!B:L,11,FALSE),"")</f>
        <v/>
      </c>
      <c r="Q306">
        <f t="shared" si="4"/>
        <v>0</v>
      </c>
    </row>
    <row r="307" spans="1:17">
      <c r="A307" t="s">
        <v>891</v>
      </c>
      <c r="B307" t="s">
        <v>892</v>
      </c>
      <c r="C307" t="str">
        <f>VLOOKUP(A307,Districts!A:I,9,FALSE)</f>
        <v>Imagine Middle Schools At</v>
      </c>
      <c r="D307" t="str">
        <f>VLOOKUP(A307,Districts!A:P,16,FALSE)</f>
        <v>D7K6ASJJAP45</v>
      </c>
      <c r="E307" t="s">
        <v>528</v>
      </c>
      <c r="F307" s="1">
        <v>45200</v>
      </c>
      <c r="G307" t="s">
        <v>529</v>
      </c>
      <c r="H307" t="s">
        <v>530</v>
      </c>
      <c r="I307" s="59">
        <f>VLOOKUP(A307,'611'!D:F,3,FALSE)</f>
        <v>78873.850000000006</v>
      </c>
      <c r="J307" s="59">
        <f>VLOOKUP(A307,'611'!D:Q,14,FALSE)</f>
        <v>128313.66</v>
      </c>
      <c r="K307" s="59">
        <f>VLOOKUP(A307,'611'!D:Q,14,FALSE)</f>
        <v>128313.66</v>
      </c>
      <c r="O307" t="s">
        <v>531</v>
      </c>
      <c r="P307" t="str">
        <f>_xlfn.IFNA(VLOOKUP(A307,IndirectCost!B:L,11,FALSE),"")</f>
        <v/>
      </c>
      <c r="Q307">
        <f t="shared" si="4"/>
        <v>0</v>
      </c>
    </row>
    <row r="308" spans="1:17">
      <c r="A308" t="s">
        <v>893</v>
      </c>
      <c r="B308" t="s">
        <v>894</v>
      </c>
      <c r="C308" t="str">
        <f>VLOOKUP(A308,Districts!A:I,9,FALSE)</f>
        <v>Imagine Middle at East Mesa</v>
      </c>
      <c r="D308" t="str">
        <f>VLOOKUP(A308,Districts!A:P,16,FALSE)</f>
        <v>ZKJZNKG79X37</v>
      </c>
      <c r="E308" t="s">
        <v>528</v>
      </c>
      <c r="F308" s="1">
        <v>45200</v>
      </c>
      <c r="G308" t="s">
        <v>529</v>
      </c>
      <c r="H308" t="s">
        <v>530</v>
      </c>
      <c r="I308" s="59">
        <f>VLOOKUP(A308,'611'!D:F,3,FALSE)</f>
        <v>19715.52</v>
      </c>
      <c r="J308" s="59">
        <f>VLOOKUP(A308,'611'!D:Q,14,FALSE)</f>
        <v>19715.52</v>
      </c>
      <c r="K308" s="59">
        <f>VLOOKUP(A308,'611'!D:Q,14,FALSE)</f>
        <v>19715.52</v>
      </c>
      <c r="O308" t="s">
        <v>531</v>
      </c>
      <c r="P308" t="str">
        <f>_xlfn.IFNA(VLOOKUP(A308,IndirectCost!B:L,11,FALSE),"")</f>
        <v/>
      </c>
      <c r="Q308">
        <f t="shared" si="4"/>
        <v>0</v>
      </c>
    </row>
    <row r="309" spans="1:17">
      <c r="A309" t="s">
        <v>895</v>
      </c>
      <c r="B309" t="s">
        <v>896</v>
      </c>
      <c r="C309" t="str">
        <f>VLOOKUP(A309,Districts!A:I,9,FALSE)</f>
        <v>Imagine Middle at Surprise, Inc</v>
      </c>
      <c r="D309" t="str">
        <f>VLOOKUP(A309,Districts!A:P,16,FALSE)</f>
        <v>NX85QKZLEJF9</v>
      </c>
      <c r="E309" t="s">
        <v>528</v>
      </c>
      <c r="F309" s="1">
        <v>45200</v>
      </c>
      <c r="G309" t="s">
        <v>529</v>
      </c>
      <c r="H309" t="s">
        <v>530</v>
      </c>
      <c r="I309" s="59">
        <f>VLOOKUP(A309,'611'!D:F,3,FALSE)</f>
        <v>37586.42</v>
      </c>
      <c r="J309" s="59">
        <f>VLOOKUP(A309,'611'!D:Q,14,FALSE)</f>
        <v>37586.42</v>
      </c>
      <c r="K309" s="59">
        <f>VLOOKUP(A309,'611'!D:Q,14,FALSE)</f>
        <v>37586.42</v>
      </c>
      <c r="O309" t="s">
        <v>531</v>
      </c>
      <c r="P309" t="str">
        <f>_xlfn.IFNA(VLOOKUP(A309,IndirectCost!B:L,11,FALSE),"")</f>
        <v/>
      </c>
      <c r="Q309">
        <f t="shared" si="4"/>
        <v>0</v>
      </c>
    </row>
    <row r="310" spans="1:17">
      <c r="A310" t="s">
        <v>897</v>
      </c>
      <c r="B310" t="s">
        <v>898</v>
      </c>
      <c r="C310" t="str">
        <f>VLOOKUP(A310,Districts!A:I,9,FALSE)</f>
        <v>IMAGINE PREP AT COOLIDGE SODEX</v>
      </c>
      <c r="D310" t="str">
        <f>VLOOKUP(A310,Districts!A:P,16,FALSE)</f>
        <v>YMHYM6MJMP19</v>
      </c>
      <c r="E310" t="s">
        <v>528</v>
      </c>
      <c r="F310" s="1">
        <v>45200</v>
      </c>
      <c r="G310" t="s">
        <v>529</v>
      </c>
      <c r="H310" t="s">
        <v>530</v>
      </c>
      <c r="I310" s="59">
        <f>VLOOKUP(A310,'611'!D:F,3,FALSE)</f>
        <v>87075.95</v>
      </c>
      <c r="J310" s="59">
        <f>VLOOKUP(A310,'611'!D:Q,14,FALSE)</f>
        <v>87075.95</v>
      </c>
      <c r="K310" s="59">
        <f>VLOOKUP(A310,'611'!D:Q,14,FALSE)</f>
        <v>87075.95</v>
      </c>
      <c r="O310" t="s">
        <v>531</v>
      </c>
      <c r="P310" t="str">
        <f>_xlfn.IFNA(VLOOKUP(A310,IndirectCost!B:L,11,FALSE),"")</f>
        <v/>
      </c>
      <c r="Q310">
        <f t="shared" si="4"/>
        <v>0</v>
      </c>
    </row>
    <row r="311" spans="1:17">
      <c r="A311" t="s">
        <v>899</v>
      </c>
      <c r="B311" t="s">
        <v>900</v>
      </c>
      <c r="C311" t="str">
        <f>VLOOKUP(A311,Districts!A:I,9,FALSE)</f>
        <v>Imagine Prep Superstition</v>
      </c>
      <c r="D311" t="str">
        <f>VLOOKUP(A311,Districts!A:P,16,FALSE)</f>
        <v>W6CAT9QKGJW6</v>
      </c>
      <c r="E311" t="s">
        <v>528</v>
      </c>
      <c r="F311" s="1">
        <v>45200</v>
      </c>
      <c r="G311" t="s">
        <v>529</v>
      </c>
      <c r="H311" t="s">
        <v>530</v>
      </c>
      <c r="I311" s="59">
        <f>VLOOKUP(A311,'611'!D:F,3,FALSE)</f>
        <v>47528.94</v>
      </c>
      <c r="J311" s="59">
        <f>VLOOKUP(A311,'611'!D:Q,14,FALSE)</f>
        <v>108615.49</v>
      </c>
      <c r="K311" s="59">
        <f>VLOOKUP(A311,'611'!D:Q,14,FALSE)</f>
        <v>108615.49</v>
      </c>
      <c r="O311" t="s">
        <v>531</v>
      </c>
      <c r="P311" t="str">
        <f>_xlfn.IFNA(VLOOKUP(A311,IndirectCost!B:L,11,FALSE),"")</f>
        <v/>
      </c>
      <c r="Q311">
        <f t="shared" si="4"/>
        <v>0</v>
      </c>
    </row>
    <row r="312" spans="1:17">
      <c r="A312" t="s">
        <v>901</v>
      </c>
      <c r="B312" t="s">
        <v>902</v>
      </c>
      <c r="C312" t="str">
        <f>VLOOKUP(A312,Districts!A:I,9,FALSE)</f>
        <v>Imagine Prep Surprise</v>
      </c>
      <c r="D312" t="str">
        <f>VLOOKUP(A312,Districts!A:P,16,FALSE)</f>
        <v>P3UAXZ1BQK77</v>
      </c>
      <c r="E312" t="s">
        <v>528</v>
      </c>
      <c r="F312" s="1">
        <v>45200</v>
      </c>
      <c r="G312" t="s">
        <v>529</v>
      </c>
      <c r="H312" t="s">
        <v>530</v>
      </c>
      <c r="I312" s="59">
        <f>VLOOKUP(A312,'611'!D:F,3,FALSE)</f>
        <v>45561.13</v>
      </c>
      <c r="J312" s="59">
        <f>VLOOKUP(A312,'611'!D:Q,14,FALSE)</f>
        <v>45561.13</v>
      </c>
      <c r="K312" s="59">
        <f>VLOOKUP(A312,'611'!D:Q,14,FALSE)</f>
        <v>45561.13</v>
      </c>
      <c r="O312" t="s">
        <v>531</v>
      </c>
      <c r="P312" t="str">
        <f>_xlfn.IFNA(VLOOKUP(A312,IndirectCost!B:L,11,FALSE),"")</f>
        <v/>
      </c>
      <c r="Q312">
        <f t="shared" si="4"/>
        <v>0</v>
      </c>
    </row>
    <row r="313" spans="1:17">
      <c r="A313" t="s">
        <v>903</v>
      </c>
      <c r="B313" t="s">
        <v>904</v>
      </c>
      <c r="C313" t="str">
        <f>VLOOKUP(A313,Districts!A:I,9,FALSE)</f>
        <v>Imagine Superstition Middle, Inc</v>
      </c>
      <c r="D313" t="str">
        <f>VLOOKUP(A313,Districts!A:P,16,FALSE)</f>
        <v>UEZLJFP6AJ21</v>
      </c>
      <c r="E313" t="s">
        <v>528</v>
      </c>
      <c r="F313" s="1">
        <v>45200</v>
      </c>
      <c r="G313" t="s">
        <v>529</v>
      </c>
      <c r="H313" t="s">
        <v>530</v>
      </c>
      <c r="I313" s="59">
        <f>VLOOKUP(A313,'611'!D:F,3,FALSE)</f>
        <v>26567.39</v>
      </c>
      <c r="J313" s="59">
        <f>VLOOKUP(A313,'611'!D:Q,14,FALSE)</f>
        <v>60335.82</v>
      </c>
      <c r="K313" s="59">
        <f>VLOOKUP(A313,'611'!D:Q,14,FALSE)</f>
        <v>60335.82</v>
      </c>
      <c r="O313" t="s">
        <v>531</v>
      </c>
      <c r="P313" t="str">
        <f>_xlfn.IFNA(VLOOKUP(A313,IndirectCost!B:L,11,FALSE),"")</f>
        <v/>
      </c>
      <c r="Q313">
        <f t="shared" si="4"/>
        <v>0</v>
      </c>
    </row>
    <row r="314" spans="1:17">
      <c r="A314" t="s">
        <v>258</v>
      </c>
      <c r="B314" t="s">
        <v>905</v>
      </c>
      <c r="C314" t="str">
        <f>VLOOKUP(A314,Districts!A:I,9,FALSE)</f>
        <v>Incito Schools</v>
      </c>
      <c r="D314" t="str">
        <f>VLOOKUP(A314,Districts!A:P,16,FALSE)</f>
        <v>NBN1UBJ42B48</v>
      </c>
      <c r="E314" t="s">
        <v>528</v>
      </c>
      <c r="F314" s="1">
        <v>45200</v>
      </c>
      <c r="G314" t="s">
        <v>529</v>
      </c>
      <c r="H314" t="s">
        <v>530</v>
      </c>
      <c r="I314" s="59">
        <f>VLOOKUP(A314,'611'!D:F,3,FALSE)</f>
        <v>39017.89</v>
      </c>
      <c r="J314" s="59">
        <f>VLOOKUP(A314,'611'!D:Q,14,FALSE)</f>
        <v>39017.89</v>
      </c>
      <c r="K314" s="59">
        <f>VLOOKUP(A314,'611'!D:Q,14,FALSE)</f>
        <v>39017.89</v>
      </c>
      <c r="O314" t="s">
        <v>531</v>
      </c>
      <c r="P314" t="str">
        <f>_xlfn.IFNA(VLOOKUP(A314,IndirectCost!B:L,11,FALSE),"")</f>
        <v/>
      </c>
      <c r="Q314">
        <f t="shared" si="4"/>
        <v>0</v>
      </c>
    </row>
    <row r="315" spans="1:17">
      <c r="A315" t="s">
        <v>906</v>
      </c>
      <c r="B315" t="s">
        <v>907</v>
      </c>
      <c r="C315" t="str">
        <f>VLOOKUP(A315,Districts!A:I,9,FALSE)</f>
        <v>Institute for Transformative Education DBA Changemaker High School</v>
      </c>
      <c r="D315" t="str">
        <f>VLOOKUP(A315,Districts!A:P,16,FALSE)</f>
        <v>XK1UF7UCXLL3</v>
      </c>
      <c r="E315" t="s">
        <v>528</v>
      </c>
      <c r="F315" s="1">
        <v>45200</v>
      </c>
      <c r="G315" t="s">
        <v>529</v>
      </c>
      <c r="H315" t="s">
        <v>530</v>
      </c>
      <c r="I315" s="59">
        <f>VLOOKUP(A315,'611'!D:F,3,FALSE)</f>
        <v>7292.94</v>
      </c>
      <c r="J315" s="59">
        <f>VLOOKUP(A315,'611'!D:Q,14,FALSE)</f>
        <v>0</v>
      </c>
      <c r="K315" s="59">
        <f>VLOOKUP(A315,'611'!D:Q,14,FALSE)</f>
        <v>0</v>
      </c>
      <c r="O315" t="s">
        <v>531</v>
      </c>
      <c r="P315">
        <f>_xlfn.IFNA(VLOOKUP(A315,IndirectCost!B:L,11,FALSE),"")</f>
        <v>0</v>
      </c>
      <c r="Q315">
        <f t="shared" si="4"/>
        <v>0</v>
      </c>
    </row>
    <row r="316" spans="1:17">
      <c r="A316" t="s">
        <v>908</v>
      </c>
      <c r="B316" t="s">
        <v>909</v>
      </c>
      <c r="C316" t="str">
        <f>VLOOKUP(A316,Districts!A:I,9,FALSE)</f>
        <v>IntelliSchool</v>
      </c>
      <c r="D316" t="str">
        <f>VLOOKUP(A316,Districts!A:P,16,FALSE)</f>
        <v>ER2KCXJ79CA8</v>
      </c>
      <c r="E316" t="s">
        <v>528</v>
      </c>
      <c r="F316" s="1">
        <v>45200</v>
      </c>
      <c r="G316" t="s">
        <v>529</v>
      </c>
      <c r="H316" t="s">
        <v>530</v>
      </c>
      <c r="I316" s="59">
        <f>VLOOKUP(A316,'611'!D:F,3,FALSE)</f>
        <v>18136.45</v>
      </c>
      <c r="J316" s="59">
        <f>VLOOKUP(A316,'611'!D:Q,14,FALSE)</f>
        <v>20068.37</v>
      </c>
      <c r="K316" s="59">
        <f>VLOOKUP(A316,'611'!D:Q,14,FALSE)</f>
        <v>20068.37</v>
      </c>
      <c r="O316" t="s">
        <v>531</v>
      </c>
      <c r="P316" t="str">
        <f>_xlfn.IFNA(VLOOKUP(A316,IndirectCost!B:L,11,FALSE),"")</f>
        <v/>
      </c>
      <c r="Q316">
        <f t="shared" si="4"/>
        <v>0</v>
      </c>
    </row>
    <row r="317" spans="1:17">
      <c r="A317" t="s">
        <v>259</v>
      </c>
      <c r="B317" t="s">
        <v>910</v>
      </c>
      <c r="C317" t="str">
        <f>VLOOKUP(A317,Districts!A:I,9,FALSE)</f>
        <v>Isaac School District</v>
      </c>
      <c r="D317" t="str">
        <f>VLOOKUP(A317,Districts!A:P,16,FALSE)</f>
        <v>EAYAR4RAM1K3</v>
      </c>
      <c r="E317" t="s">
        <v>528</v>
      </c>
      <c r="F317" s="1">
        <v>45200</v>
      </c>
      <c r="G317" t="s">
        <v>529</v>
      </c>
      <c r="H317" t="s">
        <v>530</v>
      </c>
      <c r="I317" s="59">
        <f>VLOOKUP(A317,'611'!D:F,3,FALSE)</f>
        <v>1166623.02</v>
      </c>
      <c r="J317" s="59">
        <f>VLOOKUP(A317,'611'!D:Q,14,FALSE)</f>
        <v>2417235.66</v>
      </c>
      <c r="K317" s="59">
        <f>VLOOKUP(A317,'611'!D:Q,14,FALSE)</f>
        <v>2417235.66</v>
      </c>
      <c r="O317" t="s">
        <v>531</v>
      </c>
      <c r="P317" t="str">
        <f>_xlfn.IFNA(VLOOKUP(A317,IndirectCost!B:L,11,FALSE),"")</f>
        <v/>
      </c>
      <c r="Q317">
        <f t="shared" si="4"/>
        <v>0</v>
      </c>
    </row>
    <row r="318" spans="1:17">
      <c r="A318" t="s">
        <v>260</v>
      </c>
      <c r="B318" t="s">
        <v>911</v>
      </c>
      <c r="C318" t="str">
        <f>VLOOKUP(A318,Districts!A:I,9,FALSE)</f>
        <v>J O Combs USD 44</v>
      </c>
      <c r="D318" t="str">
        <f>VLOOKUP(A318,Districts!A:P,16,FALSE)</f>
        <v>E7BLEJPLMN41</v>
      </c>
      <c r="E318" t="s">
        <v>528</v>
      </c>
      <c r="F318" s="1">
        <v>45200</v>
      </c>
      <c r="G318" t="s">
        <v>529</v>
      </c>
      <c r="H318" t="s">
        <v>530</v>
      </c>
      <c r="I318" s="59">
        <f>VLOOKUP(A318,'611'!D:F,3,FALSE)</f>
        <v>734924.45</v>
      </c>
      <c r="J318" s="59">
        <f>VLOOKUP(A318,'611'!D:Q,14,FALSE)</f>
        <v>975626.63</v>
      </c>
      <c r="K318" s="59">
        <f>VLOOKUP(A318,'611'!D:Q,14,FALSE)</f>
        <v>975626.63</v>
      </c>
      <c r="O318" t="s">
        <v>531</v>
      </c>
      <c r="P318">
        <f>_xlfn.IFNA(VLOOKUP(A318,IndirectCost!B:L,11,FALSE),"")</f>
        <v>5.56</v>
      </c>
      <c r="Q318">
        <f t="shared" si="4"/>
        <v>5.5599999999999997E-2</v>
      </c>
    </row>
    <row r="319" spans="1:17">
      <c r="A319" t="s">
        <v>912</v>
      </c>
      <c r="B319" t="s">
        <v>913</v>
      </c>
      <c r="C319" t="str">
        <f>VLOOKUP(A319,Districts!A:I,9,FALSE)</f>
        <v>JAMES MADISON PREPARATORY SCHOOL INC</v>
      </c>
      <c r="D319" t="str">
        <f>VLOOKUP(A319,Districts!A:P,16,FALSE)</f>
        <v>UFUXYYTQPKN4</v>
      </c>
      <c r="E319" t="s">
        <v>528</v>
      </c>
      <c r="F319" s="1">
        <v>45200</v>
      </c>
      <c r="G319" t="s">
        <v>529</v>
      </c>
      <c r="H319" t="s">
        <v>530</v>
      </c>
      <c r="I319" s="59">
        <f>VLOOKUP(A319,'611'!D:F,3,FALSE)</f>
        <v>21513.23</v>
      </c>
      <c r="J319" s="59">
        <f>VLOOKUP(A319,'611'!D:Q,14,FALSE)</f>
        <v>21513.23</v>
      </c>
      <c r="K319" s="59">
        <f>VLOOKUP(A319,'611'!D:Q,14,FALSE)</f>
        <v>21513.23</v>
      </c>
      <c r="O319" t="s">
        <v>531</v>
      </c>
      <c r="P319" t="str">
        <f>_xlfn.IFNA(VLOOKUP(A319,IndirectCost!B:L,11,FALSE),"")</f>
        <v/>
      </c>
      <c r="Q319">
        <f t="shared" si="4"/>
        <v>0</v>
      </c>
    </row>
    <row r="320" spans="1:17">
      <c r="A320" t="s">
        <v>914</v>
      </c>
      <c r="B320" t="s">
        <v>915</v>
      </c>
      <c r="C320" t="str">
        <f>VLOOKUP(A320,Districts!A:I,9,FALSE)</f>
        <v>James Sandoval Preparatory High School</v>
      </c>
      <c r="D320" t="str">
        <f>VLOOKUP(A320,Districts!A:P,16,FALSE)</f>
        <v>FF28R47KKMD1</v>
      </c>
      <c r="E320" t="s">
        <v>528</v>
      </c>
      <c r="F320" s="1">
        <v>45200</v>
      </c>
      <c r="G320" t="s">
        <v>529</v>
      </c>
      <c r="H320" t="s">
        <v>530</v>
      </c>
      <c r="I320" s="59">
        <f>VLOOKUP(A320,'611'!D:F,3,FALSE)</f>
        <v>6943.42</v>
      </c>
      <c r="J320" s="59">
        <f>VLOOKUP(A320,'611'!D:Q,14,FALSE)</f>
        <v>7019.45</v>
      </c>
      <c r="K320" s="59">
        <f>VLOOKUP(A320,'611'!D:Q,14,FALSE)</f>
        <v>7019.45</v>
      </c>
      <c r="O320" t="s">
        <v>531</v>
      </c>
      <c r="P320">
        <f>_xlfn.IFNA(VLOOKUP(A320,IndirectCost!B:L,11,FALSE),"")</f>
        <v>8</v>
      </c>
      <c r="Q320">
        <f t="shared" si="4"/>
        <v>0.08</v>
      </c>
    </row>
    <row r="321" spans="1:17">
      <c r="A321" t="s">
        <v>261</v>
      </c>
      <c r="B321" t="s">
        <v>916</v>
      </c>
      <c r="C321" t="str">
        <f>VLOOKUP(A321,Districts!A:I,9,FALSE)</f>
        <v>Joseph City Unified School District 02</v>
      </c>
      <c r="D321" t="str">
        <f>VLOOKUP(A321,Districts!A:P,16,FALSE)</f>
        <v>G7KSKCNSW5Y7</v>
      </c>
      <c r="E321" t="s">
        <v>528</v>
      </c>
      <c r="F321" s="1">
        <v>45200</v>
      </c>
      <c r="G321" t="s">
        <v>529</v>
      </c>
      <c r="H321" t="s">
        <v>530</v>
      </c>
      <c r="I321" s="59">
        <f>VLOOKUP(A321,'611'!D:F,3,FALSE)</f>
        <v>121301.11</v>
      </c>
      <c r="J321" s="59">
        <f>VLOOKUP(A321,'611'!D:Q,14,FALSE)</f>
        <v>222824.95</v>
      </c>
      <c r="K321" s="59">
        <f>VLOOKUP(A321,'611'!D:Q,14,FALSE)</f>
        <v>222824.95</v>
      </c>
      <c r="O321" t="s">
        <v>531</v>
      </c>
      <c r="P321">
        <f>_xlfn.IFNA(VLOOKUP(A321,IndirectCost!B:L,11,FALSE),"")</f>
        <v>8</v>
      </c>
      <c r="Q321">
        <f t="shared" si="4"/>
        <v>0.08</v>
      </c>
    </row>
    <row r="322" spans="1:17">
      <c r="A322" t="s">
        <v>262</v>
      </c>
      <c r="B322" t="s">
        <v>917</v>
      </c>
      <c r="C322" t="str">
        <f>VLOOKUP(A322,Districts!A:I,9,FALSE)</f>
        <v>Juniper Tree Academy</v>
      </c>
      <c r="D322" t="str">
        <f>VLOOKUP(A322,Districts!A:P,16,FALSE)</f>
        <v>P4G2AC384XU8</v>
      </c>
      <c r="E322" t="s">
        <v>528</v>
      </c>
      <c r="F322" s="1">
        <v>45200</v>
      </c>
      <c r="G322" t="s">
        <v>529</v>
      </c>
      <c r="H322" t="s">
        <v>530</v>
      </c>
      <c r="I322" s="59">
        <f>VLOOKUP(A322,'611'!D:F,3,FALSE)</f>
        <v>175033.86</v>
      </c>
      <c r="J322" s="59">
        <f>VLOOKUP(A322,'611'!D:Q,14,FALSE)</f>
        <v>175033.86</v>
      </c>
      <c r="K322" s="59">
        <f>VLOOKUP(A322,'611'!D:Q,14,FALSE)</f>
        <v>175033.86</v>
      </c>
      <c r="O322" t="s">
        <v>531</v>
      </c>
      <c r="P322" t="str">
        <f>_xlfn.IFNA(VLOOKUP(A322,IndirectCost!B:L,11,FALSE),"")</f>
        <v/>
      </c>
      <c r="Q322">
        <f t="shared" si="4"/>
        <v>0</v>
      </c>
    </row>
    <row r="323" spans="1:17">
      <c r="A323" t="s">
        <v>263</v>
      </c>
      <c r="B323" t="s">
        <v>918</v>
      </c>
      <c r="C323" t="str">
        <f>VLOOKUP(A323,Districts!A:I,9,FALSE)</f>
        <v>KAIZEN EDUCATION FOUNDATION</v>
      </c>
      <c r="D323" t="str">
        <f>VLOOKUP(A323,Districts!A:P,16,FALSE)</f>
        <v>TFF4MSKFCXA9</v>
      </c>
      <c r="E323" t="s">
        <v>528</v>
      </c>
      <c r="F323" s="1">
        <v>45200</v>
      </c>
      <c r="G323" t="s">
        <v>529</v>
      </c>
      <c r="H323" t="s">
        <v>530</v>
      </c>
      <c r="I323" s="59">
        <f>VLOOKUP(A323,'611'!D:F,3,FALSE)</f>
        <v>14464.18</v>
      </c>
      <c r="J323" s="59">
        <f>VLOOKUP(A323,'611'!D:Q,14,FALSE)</f>
        <v>15153.14</v>
      </c>
      <c r="K323" s="59">
        <f>VLOOKUP(A323,'611'!D:Q,14,FALSE)</f>
        <v>15153.14</v>
      </c>
      <c r="O323" t="s">
        <v>531</v>
      </c>
      <c r="P323">
        <f>_xlfn.IFNA(VLOOKUP(A323,IndirectCost!B:L,11,FALSE),"")</f>
        <v>8</v>
      </c>
      <c r="Q323">
        <f t="shared" si="4"/>
        <v>0.08</v>
      </c>
    </row>
    <row r="324" spans="1:17">
      <c r="A324" t="s">
        <v>264</v>
      </c>
      <c r="B324" t="s">
        <v>919</v>
      </c>
      <c r="C324" t="str">
        <f>VLOOKUP(A324,Districts!A:I,9,FALSE)</f>
        <v>KAIZEN EDUCATION FOUNDATION</v>
      </c>
      <c r="D324" t="str">
        <f>VLOOKUP(A324,Districts!A:P,16,FALSE)</f>
        <v>LQHVKXGEBUJ1</v>
      </c>
      <c r="E324" t="s">
        <v>528</v>
      </c>
      <c r="F324" s="1">
        <v>45200</v>
      </c>
      <c r="G324" t="s">
        <v>529</v>
      </c>
      <c r="H324" t="s">
        <v>530</v>
      </c>
      <c r="I324" s="59">
        <f>VLOOKUP(A324,'611'!D:F,3,FALSE)</f>
        <v>47704.58</v>
      </c>
      <c r="J324" s="59">
        <f>VLOOKUP(A324,'611'!D:Q,14,FALSE)</f>
        <v>47704.58</v>
      </c>
      <c r="K324" s="59">
        <f>VLOOKUP(A324,'611'!D:Q,14,FALSE)</f>
        <v>47704.58</v>
      </c>
      <c r="O324" t="s">
        <v>531</v>
      </c>
      <c r="P324">
        <f>_xlfn.IFNA(VLOOKUP(A324,IndirectCost!B:L,11,FALSE),"")</f>
        <v>8</v>
      </c>
      <c r="Q324">
        <f t="shared" ref="Q324:Q387" si="5">IFERROR(P324/100,0)</f>
        <v>0.08</v>
      </c>
    </row>
    <row r="325" spans="1:17">
      <c r="A325" t="s">
        <v>265</v>
      </c>
      <c r="B325" t="s">
        <v>920</v>
      </c>
      <c r="C325" t="str">
        <f>VLOOKUP(A325,Districts!A:I,9,FALSE)</f>
        <v>KAIZEN EDUCATION FOUNDATION</v>
      </c>
      <c r="D325" t="str">
        <f>VLOOKUP(A325,Districts!A:P,16,FALSE)</f>
        <v>G8M6YMPA1K27</v>
      </c>
      <c r="E325" t="s">
        <v>528</v>
      </c>
      <c r="F325" s="1">
        <v>45200</v>
      </c>
      <c r="G325" t="s">
        <v>529</v>
      </c>
      <c r="H325" t="s">
        <v>530</v>
      </c>
      <c r="I325" s="59">
        <f>VLOOKUP(A325,'611'!D:F,3,FALSE)</f>
        <v>26780.47</v>
      </c>
      <c r="J325" s="59">
        <f>VLOOKUP(A325,'611'!D:Q,14,FALSE)</f>
        <v>27235.47</v>
      </c>
      <c r="K325" s="59">
        <f>VLOOKUP(A325,'611'!D:Q,14,FALSE)</f>
        <v>27235.47</v>
      </c>
      <c r="O325" t="s">
        <v>531</v>
      </c>
      <c r="P325">
        <f>_xlfn.IFNA(VLOOKUP(A325,IndirectCost!B:L,11,FALSE),"")</f>
        <v>8</v>
      </c>
      <c r="Q325">
        <f t="shared" si="5"/>
        <v>0.08</v>
      </c>
    </row>
    <row r="326" spans="1:17">
      <c r="A326" t="s">
        <v>921</v>
      </c>
      <c r="B326" t="s">
        <v>922</v>
      </c>
      <c r="C326" t="str">
        <f>VLOOKUP(A326,Districts!A:I,9,FALSE)</f>
        <v>KAIZEN EDUCATION FOUNDATION</v>
      </c>
      <c r="D326" t="str">
        <f>VLOOKUP(A326,Districts!A:P,16,FALSE)</f>
        <v>LG84J9DVRGA3</v>
      </c>
      <c r="E326" t="s">
        <v>528</v>
      </c>
      <c r="F326" s="1">
        <v>45200</v>
      </c>
      <c r="G326" t="s">
        <v>529</v>
      </c>
      <c r="H326" t="s">
        <v>530</v>
      </c>
      <c r="I326" s="59">
        <f>VLOOKUP(A326,'611'!D:F,3,FALSE)</f>
        <v>125469.24</v>
      </c>
      <c r="J326" s="59">
        <f>VLOOKUP(A326,'611'!D:Q,14,FALSE)</f>
        <v>131769.76</v>
      </c>
      <c r="K326" s="59">
        <f>VLOOKUP(A326,'611'!D:Q,14,FALSE)</f>
        <v>131769.76</v>
      </c>
      <c r="O326" t="s">
        <v>531</v>
      </c>
      <c r="P326">
        <f>_xlfn.IFNA(VLOOKUP(A326,IndirectCost!B:L,11,FALSE),"")</f>
        <v>8</v>
      </c>
      <c r="Q326">
        <f t="shared" si="5"/>
        <v>0.08</v>
      </c>
    </row>
    <row r="327" spans="1:17">
      <c r="A327" t="s">
        <v>266</v>
      </c>
      <c r="B327" t="s">
        <v>923</v>
      </c>
      <c r="C327" t="str">
        <f>VLOOKUP(A327,Districts!A:I,9,FALSE)</f>
        <v>Kaizen Education Foundation dba Gilbert Arts Academy</v>
      </c>
      <c r="D327" t="str">
        <f>VLOOKUP(A327,Districts!A:P,16,FALSE)</f>
        <v>R8LFKTGJLUT9</v>
      </c>
      <c r="E327" t="s">
        <v>528</v>
      </c>
      <c r="F327" s="1">
        <v>45200</v>
      </c>
      <c r="G327" t="s">
        <v>529</v>
      </c>
      <c r="H327" t="s">
        <v>530</v>
      </c>
      <c r="I327" s="59">
        <f>VLOOKUP(A327,'611'!D:F,3,FALSE)</f>
        <v>28318.46</v>
      </c>
      <c r="J327" s="59">
        <f>VLOOKUP(A327,'611'!D:Q,14,FALSE)</f>
        <v>28318.46</v>
      </c>
      <c r="K327" s="59">
        <f>VLOOKUP(A327,'611'!D:Q,14,FALSE)</f>
        <v>28318.46</v>
      </c>
      <c r="O327" t="s">
        <v>531</v>
      </c>
      <c r="P327">
        <f>_xlfn.IFNA(VLOOKUP(A327,IndirectCost!B:L,11,FALSE),"")</f>
        <v>8</v>
      </c>
      <c r="Q327">
        <f t="shared" si="5"/>
        <v>0.08</v>
      </c>
    </row>
    <row r="328" spans="1:17">
      <c r="A328" t="s">
        <v>267</v>
      </c>
      <c r="B328" t="s">
        <v>924</v>
      </c>
      <c r="C328" t="str">
        <f>VLOOKUP(A328,Districts!A:I,9,FALSE)</f>
        <v>KAIZEN EDUCATION FOUNDATION</v>
      </c>
      <c r="D328" t="str">
        <f>VLOOKUP(A328,Districts!A:P,16,FALSE)</f>
        <v>HUTMRNQJE8C7</v>
      </c>
      <c r="E328" t="s">
        <v>528</v>
      </c>
      <c r="F328" s="1">
        <v>45200</v>
      </c>
      <c r="G328" t="s">
        <v>529</v>
      </c>
      <c r="H328" t="s">
        <v>530</v>
      </c>
      <c r="I328" s="59">
        <f>VLOOKUP(A328,'611'!D:F,3,FALSE)</f>
        <v>39654.93</v>
      </c>
      <c r="J328" s="59">
        <f>VLOOKUP(A328,'611'!D:Q,14,FALSE)</f>
        <v>39654.93</v>
      </c>
      <c r="K328" s="59">
        <f>VLOOKUP(A328,'611'!D:Q,14,FALSE)</f>
        <v>39654.93</v>
      </c>
      <c r="O328" t="s">
        <v>531</v>
      </c>
      <c r="P328">
        <f>_xlfn.IFNA(VLOOKUP(A328,IndirectCost!B:L,11,FALSE),"")</f>
        <v>8</v>
      </c>
      <c r="Q328">
        <f t="shared" si="5"/>
        <v>0.08</v>
      </c>
    </row>
    <row r="329" spans="1:17">
      <c r="A329" t="s">
        <v>268</v>
      </c>
      <c r="B329" t="s">
        <v>925</v>
      </c>
      <c r="C329" t="str">
        <f>VLOOKUP(A329,Districts!A:I,9,FALSE)</f>
        <v>Kaizen Education Foundation dba Liberty Arts Academy</v>
      </c>
      <c r="D329" t="str">
        <f>VLOOKUP(A329,Districts!A:P,16,FALSE)</f>
        <v>LKHGYLLWGKB5</v>
      </c>
      <c r="E329" t="s">
        <v>528</v>
      </c>
      <c r="F329" s="1">
        <v>45200</v>
      </c>
      <c r="G329" t="s">
        <v>529</v>
      </c>
      <c r="H329" t="s">
        <v>530</v>
      </c>
      <c r="I329" s="59">
        <f>VLOOKUP(A329,'611'!D:F,3,FALSE)</f>
        <v>57379.34</v>
      </c>
      <c r="J329" s="59">
        <f>VLOOKUP(A329,'611'!D:Q,14,FALSE)</f>
        <v>57379.34</v>
      </c>
      <c r="K329" s="59">
        <f>VLOOKUP(A329,'611'!D:Q,14,FALSE)</f>
        <v>57379.34</v>
      </c>
      <c r="O329" t="s">
        <v>531</v>
      </c>
      <c r="P329">
        <f>_xlfn.IFNA(VLOOKUP(A329,IndirectCost!B:L,11,FALSE),"")</f>
        <v>8</v>
      </c>
      <c r="Q329">
        <f t="shared" si="5"/>
        <v>0.08</v>
      </c>
    </row>
    <row r="330" spans="1:17">
      <c r="A330" t="s">
        <v>926</v>
      </c>
      <c r="B330" t="s">
        <v>927</v>
      </c>
      <c r="C330" t="str">
        <f>VLOOKUP(A330,Districts!A:I,9,FALSE)</f>
        <v>Kaizen Education Foundation dba Maya High School</v>
      </c>
      <c r="D330" t="str">
        <f>VLOOKUP(A330,Districts!A:P,16,FALSE)</f>
        <v>GHGDG3KJ6J84</v>
      </c>
      <c r="E330" t="s">
        <v>528</v>
      </c>
      <c r="F330" s="1">
        <v>45200</v>
      </c>
      <c r="G330" t="s">
        <v>529</v>
      </c>
      <c r="H330" t="s">
        <v>530</v>
      </c>
      <c r="I330" s="59">
        <f>VLOOKUP(A330,'611'!D:F,3,FALSE)</f>
        <v>92572.79</v>
      </c>
      <c r="J330" s="59">
        <f>VLOOKUP(A330,'611'!D:Q,14,FALSE)</f>
        <v>98801.37</v>
      </c>
      <c r="K330" s="59">
        <f>VLOOKUP(A330,'611'!D:Q,14,FALSE)</f>
        <v>98801.37</v>
      </c>
      <c r="O330" t="s">
        <v>531</v>
      </c>
      <c r="P330">
        <f>_xlfn.IFNA(VLOOKUP(A330,IndirectCost!B:L,11,FALSE),"")</f>
        <v>8</v>
      </c>
      <c r="Q330">
        <f t="shared" si="5"/>
        <v>0.08</v>
      </c>
    </row>
    <row r="331" spans="1:17">
      <c r="A331" t="s">
        <v>928</v>
      </c>
      <c r="B331" t="s">
        <v>929</v>
      </c>
      <c r="C331" t="str">
        <f>VLOOKUP(A331,Districts!A:I,9,FALSE)</f>
        <v>KAIZEN EDUCATION FOUNDATION DBA MISSION HEIGHTS PREPARATORY HIGH SCHOOL</v>
      </c>
      <c r="D331" t="str">
        <f>VLOOKUP(A331,Districts!A:P,16,FALSE)</f>
        <v>ZAH6NJKAG2H7</v>
      </c>
      <c r="E331" t="s">
        <v>528</v>
      </c>
      <c r="F331" s="1">
        <v>45200</v>
      </c>
      <c r="G331" t="s">
        <v>529</v>
      </c>
      <c r="H331" t="s">
        <v>530</v>
      </c>
      <c r="I331" s="59">
        <f>VLOOKUP(A331,'611'!D:F,3,FALSE)</f>
        <v>102738.31</v>
      </c>
      <c r="J331" s="59">
        <f>VLOOKUP(A331,'611'!D:Q,14,FALSE)</f>
        <v>110059.24</v>
      </c>
      <c r="K331" s="59">
        <f>VLOOKUP(A331,'611'!D:Q,14,FALSE)</f>
        <v>110059.24</v>
      </c>
      <c r="O331" t="s">
        <v>531</v>
      </c>
      <c r="P331">
        <f>_xlfn.IFNA(VLOOKUP(A331,IndirectCost!B:L,11,FALSE),"")</f>
        <v>8</v>
      </c>
      <c r="Q331">
        <f t="shared" si="5"/>
        <v>0.08</v>
      </c>
    </row>
    <row r="332" spans="1:17">
      <c r="A332" t="s">
        <v>930</v>
      </c>
      <c r="B332" t="s">
        <v>931</v>
      </c>
      <c r="C332" t="str">
        <f>VLOOKUP(A332,Districts!A:I,9,FALSE)</f>
        <v>KAIZEN EDUCATION FOUNDATION</v>
      </c>
      <c r="D332" t="str">
        <f>VLOOKUP(A332,Districts!A:P,16,FALSE)</f>
        <v>XNXGCQ897MP6</v>
      </c>
      <c r="E332" t="s">
        <v>528</v>
      </c>
      <c r="F332" s="1">
        <v>45200</v>
      </c>
      <c r="G332" t="s">
        <v>529</v>
      </c>
      <c r="H332" t="s">
        <v>530</v>
      </c>
      <c r="I332" s="59">
        <f>VLOOKUP(A332,'611'!D:F,3,FALSE)</f>
        <v>50701.279999999999</v>
      </c>
      <c r="J332" s="59">
        <f>VLOOKUP(A332,'611'!D:Q,14,FALSE)</f>
        <v>62509.82</v>
      </c>
      <c r="K332" s="59">
        <f>VLOOKUP(A332,'611'!D:Q,14,FALSE)</f>
        <v>62509.82</v>
      </c>
      <c r="O332" t="s">
        <v>531</v>
      </c>
      <c r="P332">
        <f>_xlfn.IFNA(VLOOKUP(A332,IndirectCost!B:L,11,FALSE),"")</f>
        <v>8</v>
      </c>
      <c r="Q332">
        <f t="shared" si="5"/>
        <v>0.08</v>
      </c>
    </row>
    <row r="333" spans="1:17">
      <c r="A333" t="s">
        <v>269</v>
      </c>
      <c r="B333" t="s">
        <v>932</v>
      </c>
      <c r="C333" t="str">
        <f>VLOOKUP(A333,Districts!A:I,9,FALSE)</f>
        <v>KAIZEN EDUCATION FOUNDATION</v>
      </c>
      <c r="D333" t="str">
        <f>VLOOKUP(A333,Districts!A:P,16,FALSE)</f>
        <v>MYBLNKYK1M25</v>
      </c>
      <c r="E333" t="s">
        <v>528</v>
      </c>
      <c r="F333" s="1">
        <v>45200</v>
      </c>
      <c r="G333" t="s">
        <v>529</v>
      </c>
      <c r="H333" t="s">
        <v>530</v>
      </c>
      <c r="I333" s="59">
        <f>VLOOKUP(A333,'611'!D:F,3,FALSE)</f>
        <v>53046.06</v>
      </c>
      <c r="J333" s="59">
        <f>VLOOKUP(A333,'611'!D:Q,14,FALSE)</f>
        <v>53046.06</v>
      </c>
      <c r="K333" s="59">
        <f>VLOOKUP(A333,'611'!D:Q,14,FALSE)</f>
        <v>53046.06</v>
      </c>
      <c r="O333" t="s">
        <v>531</v>
      </c>
      <c r="P333">
        <f>_xlfn.IFNA(VLOOKUP(A333,IndirectCost!B:L,11,FALSE),"")</f>
        <v>8</v>
      </c>
      <c r="Q333">
        <f t="shared" si="5"/>
        <v>0.08</v>
      </c>
    </row>
    <row r="334" spans="1:17">
      <c r="A334" t="s">
        <v>933</v>
      </c>
      <c r="B334" t="s">
        <v>934</v>
      </c>
      <c r="C334" t="str">
        <f>VLOOKUP(A334,Districts!A:I,9,FALSE)</f>
        <v>Kaizen Education Foundation dba South Pointe Junior High School</v>
      </c>
      <c r="D334" t="str">
        <f>VLOOKUP(A334,Districts!A:P,16,FALSE)</f>
        <v>PFZQWLL4L9U7</v>
      </c>
      <c r="E334" t="s">
        <v>528</v>
      </c>
      <c r="F334" s="1">
        <v>45200</v>
      </c>
      <c r="G334" t="s">
        <v>529</v>
      </c>
      <c r="H334" t="s">
        <v>530</v>
      </c>
      <c r="I334" s="59">
        <f>VLOOKUP(A334,'611'!D:F,3,FALSE)</f>
        <v>26393.33</v>
      </c>
      <c r="J334" s="59">
        <f>VLOOKUP(A334,'611'!D:Q,14,FALSE)</f>
        <v>26393.33</v>
      </c>
      <c r="K334" s="59">
        <f>VLOOKUP(A334,'611'!D:Q,14,FALSE)</f>
        <v>26393.33</v>
      </c>
      <c r="O334" t="s">
        <v>531</v>
      </c>
      <c r="P334">
        <f>_xlfn.IFNA(VLOOKUP(A334,IndirectCost!B:L,11,FALSE),"")</f>
        <v>8</v>
      </c>
      <c r="Q334">
        <f t="shared" si="5"/>
        <v>0.08</v>
      </c>
    </row>
    <row r="335" spans="1:17">
      <c r="A335" t="s">
        <v>935</v>
      </c>
      <c r="B335" t="s">
        <v>936</v>
      </c>
      <c r="C335" t="str">
        <f>VLOOKUP(A335,Districts!A:I,9,FALSE)</f>
        <v>Kaizen Education Foundation DBA SUMMIT HIGH SCHOOL</v>
      </c>
      <c r="D335" t="str">
        <f>VLOOKUP(A335,Districts!A:P,16,FALSE)</f>
        <v>NHKAEMJRXDV6</v>
      </c>
      <c r="E335" t="s">
        <v>528</v>
      </c>
      <c r="F335" s="1">
        <v>45200</v>
      </c>
      <c r="G335" t="s">
        <v>529</v>
      </c>
      <c r="H335" t="s">
        <v>530</v>
      </c>
      <c r="I335" s="59">
        <f>VLOOKUP(A335,'611'!D:F,3,FALSE)</f>
        <v>34333.83</v>
      </c>
      <c r="J335" s="59">
        <f>VLOOKUP(A335,'611'!D:Q,14,FALSE)</f>
        <v>70011.02</v>
      </c>
      <c r="K335" s="59">
        <f>VLOOKUP(A335,'611'!D:Q,14,FALSE)</f>
        <v>70011.02</v>
      </c>
      <c r="O335" t="s">
        <v>531</v>
      </c>
      <c r="P335">
        <f>_xlfn.IFNA(VLOOKUP(A335,IndirectCost!B:L,11,FALSE),"")</f>
        <v>8</v>
      </c>
      <c r="Q335">
        <f t="shared" si="5"/>
        <v>0.08</v>
      </c>
    </row>
    <row r="336" spans="1:17">
      <c r="A336" t="s">
        <v>937</v>
      </c>
      <c r="B336" t="s">
        <v>938</v>
      </c>
      <c r="C336" t="str">
        <f>VLOOKUP(A336,Districts!A:I,9,FALSE)</f>
        <v>KAIZEN EDUCATION FOUNDATION</v>
      </c>
      <c r="D336" t="str">
        <f>VLOOKUP(A336,Districts!A:P,16,FALSE)</f>
        <v>P47ANUQHGDE4</v>
      </c>
      <c r="E336" t="s">
        <v>528</v>
      </c>
      <c r="F336" s="1">
        <v>45200</v>
      </c>
      <c r="G336" t="s">
        <v>529</v>
      </c>
      <c r="H336" t="s">
        <v>530</v>
      </c>
      <c r="I336" s="59">
        <f>VLOOKUP(A336,'611'!D:F,3,FALSE)</f>
        <v>29904.400000000001</v>
      </c>
      <c r="J336" s="59">
        <f>VLOOKUP(A336,'611'!D:Q,14,FALSE)</f>
        <v>50612.69</v>
      </c>
      <c r="K336" s="59">
        <f>VLOOKUP(A336,'611'!D:Q,14,FALSE)</f>
        <v>50612.69</v>
      </c>
      <c r="O336" t="s">
        <v>531</v>
      </c>
      <c r="P336">
        <f>_xlfn.IFNA(VLOOKUP(A336,IndirectCost!B:L,11,FALSE),"")</f>
        <v>8</v>
      </c>
      <c r="Q336">
        <f t="shared" si="5"/>
        <v>0.08</v>
      </c>
    </row>
    <row r="337" spans="1:17">
      <c r="A337" t="s">
        <v>270</v>
      </c>
      <c r="B337" t="s">
        <v>939</v>
      </c>
      <c r="C337" t="str">
        <f>VLOOKUP(A337,Districts!A:I,9,FALSE)</f>
        <v>Kaizen Education Foundation</v>
      </c>
      <c r="D337" t="str">
        <f>VLOOKUP(A337,Districts!A:P,16,FALSE)</f>
        <v>ETU2MJ4ZBCU5</v>
      </c>
      <c r="E337" t="s">
        <v>528</v>
      </c>
      <c r="F337" s="1">
        <v>45200</v>
      </c>
      <c r="G337" t="s">
        <v>529</v>
      </c>
      <c r="H337" t="s">
        <v>530</v>
      </c>
      <c r="I337" s="59">
        <f>VLOOKUP(A337,'611'!D:F,3,FALSE)</f>
        <v>19110.060000000001</v>
      </c>
      <c r="J337" s="59">
        <f>VLOOKUP(A337,'611'!D:Q,14,FALSE)</f>
        <v>21733.97</v>
      </c>
      <c r="K337" s="59">
        <f>VLOOKUP(A337,'611'!D:Q,14,FALSE)</f>
        <v>21733.97</v>
      </c>
      <c r="O337" t="s">
        <v>531</v>
      </c>
      <c r="P337">
        <f>_xlfn.IFNA(VLOOKUP(A337,IndirectCost!B:L,11,FALSE),"")</f>
        <v>8</v>
      </c>
      <c r="Q337">
        <f t="shared" si="5"/>
        <v>0.08</v>
      </c>
    </row>
    <row r="338" spans="1:17">
      <c r="A338" t="s">
        <v>940</v>
      </c>
      <c r="B338" t="s">
        <v>941</v>
      </c>
      <c r="C338" t="str">
        <f>VLOOKUP(A338,Districts!A:I,9,FALSE)</f>
        <v>Kaizen Education Foundation DBA Vista Grove Preparatory Academy Middle School</v>
      </c>
      <c r="D338" t="str">
        <f>VLOOKUP(A338,Districts!A:P,16,FALSE)</f>
        <v>GJHMMWUS8LK1</v>
      </c>
      <c r="E338" t="s">
        <v>528</v>
      </c>
      <c r="F338" s="1">
        <v>45200</v>
      </c>
      <c r="G338" t="s">
        <v>529</v>
      </c>
      <c r="H338" t="s">
        <v>530</v>
      </c>
      <c r="I338" s="59">
        <f>VLOOKUP(A338,'611'!D:F,3,FALSE)</f>
        <v>6451.08</v>
      </c>
      <c r="J338" s="59">
        <f>VLOOKUP(A338,'611'!D:Q,14,FALSE)</f>
        <v>10547.29</v>
      </c>
      <c r="K338" s="59">
        <f>VLOOKUP(A338,'611'!D:Q,14,FALSE)</f>
        <v>10547.29</v>
      </c>
      <c r="O338" t="s">
        <v>531</v>
      </c>
      <c r="P338">
        <f>_xlfn.IFNA(VLOOKUP(A338,IndirectCost!B:L,11,FALSE),"")</f>
        <v>8</v>
      </c>
      <c r="Q338">
        <f t="shared" si="5"/>
        <v>0.08</v>
      </c>
    </row>
    <row r="339" spans="1:17">
      <c r="A339" t="s">
        <v>271</v>
      </c>
      <c r="B339" t="s">
        <v>942</v>
      </c>
      <c r="C339" t="str">
        <f>VLOOKUP(A339,Districts!A:I,9,FALSE)</f>
        <v>KALEIDOSCOPE SCHOOL</v>
      </c>
      <c r="D339" t="str">
        <f>VLOOKUP(A339,Districts!A:P,16,FALSE)</f>
        <v>JW6MYDLS2939</v>
      </c>
      <c r="E339" t="s">
        <v>528</v>
      </c>
      <c r="F339" s="1">
        <v>45200</v>
      </c>
      <c r="G339" t="s">
        <v>529</v>
      </c>
      <c r="H339" t="s">
        <v>530</v>
      </c>
      <c r="I339" s="59">
        <f>VLOOKUP(A339,'611'!D:F,3,FALSE)</f>
        <v>46538.76</v>
      </c>
      <c r="J339" s="59">
        <f>VLOOKUP(A339,'611'!D:Q,14,FALSE)</f>
        <v>46538.76</v>
      </c>
      <c r="K339" s="59">
        <f>VLOOKUP(A339,'611'!D:Q,14,FALSE)</f>
        <v>46538.76</v>
      </c>
      <c r="O339" t="s">
        <v>531</v>
      </c>
      <c r="P339">
        <f>_xlfn.IFNA(VLOOKUP(A339,IndirectCost!B:L,11,FALSE),"")</f>
        <v>0</v>
      </c>
      <c r="Q339">
        <f t="shared" si="5"/>
        <v>0</v>
      </c>
    </row>
    <row r="340" spans="1:17">
      <c r="A340" t="s">
        <v>272</v>
      </c>
      <c r="B340" t="s">
        <v>943</v>
      </c>
      <c r="C340" t="str">
        <f>VLOOKUP(A340,Districts!A:I,9,FALSE)</f>
        <v>Kayenta Unified Schools</v>
      </c>
      <c r="D340" t="str">
        <f>VLOOKUP(A340,Districts!A:P,16,FALSE)</f>
        <v>T8VAMD7Q7817</v>
      </c>
      <c r="E340" t="s">
        <v>528</v>
      </c>
      <c r="F340" s="1">
        <v>45200</v>
      </c>
      <c r="G340" t="s">
        <v>529</v>
      </c>
      <c r="H340" t="s">
        <v>530</v>
      </c>
      <c r="I340" s="59">
        <f>VLOOKUP(A340,'611'!D:F,3,FALSE)</f>
        <v>369188.68</v>
      </c>
      <c r="J340" s="59">
        <f>VLOOKUP(A340,'611'!D:Q,14,FALSE)</f>
        <v>378659.01</v>
      </c>
      <c r="K340" s="59">
        <f>VLOOKUP(A340,'611'!D:Q,14,FALSE)</f>
        <v>378659.01</v>
      </c>
      <c r="O340" t="s">
        <v>531</v>
      </c>
      <c r="P340">
        <f>_xlfn.IFNA(VLOOKUP(A340,IndirectCost!B:L,11,FALSE),"")</f>
        <v>7.37</v>
      </c>
      <c r="Q340">
        <f t="shared" si="5"/>
        <v>7.3700000000000002E-2</v>
      </c>
    </row>
    <row r="341" spans="1:17">
      <c r="A341" t="s">
        <v>944</v>
      </c>
      <c r="B341" t="s">
        <v>945</v>
      </c>
      <c r="C341" t="str">
        <f>VLOOKUP(A341,Districts!A:I,9,FALSE)</f>
        <v>Kestrel Schools, INCORPORATED DBA Valley Preparatory Academy</v>
      </c>
      <c r="D341" t="str">
        <f>VLOOKUP(A341,Districts!A:P,16,FALSE)</f>
        <v>XHVHKD6XBWF9</v>
      </c>
      <c r="E341" t="s">
        <v>528</v>
      </c>
      <c r="F341" s="1">
        <v>45200</v>
      </c>
      <c r="G341" t="s">
        <v>529</v>
      </c>
      <c r="H341" t="s">
        <v>530</v>
      </c>
      <c r="I341" s="59">
        <f>VLOOKUP(A341,'611'!D:F,3,FALSE)</f>
        <v>9949</v>
      </c>
      <c r="J341" s="59">
        <f>VLOOKUP(A341,'611'!D:Q,14,FALSE)</f>
        <v>10613.76</v>
      </c>
      <c r="K341" s="59">
        <f>VLOOKUP(A341,'611'!D:Q,14,FALSE)</f>
        <v>10613.76</v>
      </c>
      <c r="O341" t="s">
        <v>531</v>
      </c>
      <c r="P341">
        <f>_xlfn.IFNA(VLOOKUP(A341,IndirectCost!B:L,11,FALSE),"")</f>
        <v>8</v>
      </c>
      <c r="Q341">
        <f t="shared" si="5"/>
        <v>0.08</v>
      </c>
    </row>
    <row r="342" spans="1:17">
      <c r="A342" t="s">
        <v>946</v>
      </c>
      <c r="B342" t="s">
        <v>947</v>
      </c>
      <c r="C342" t="str">
        <f>VLOOKUP(A342,Districts!A:I,9,FALSE)</f>
        <v>Keystone Montessori Charter School, Inc</v>
      </c>
      <c r="D342" t="str">
        <f>VLOOKUP(A342,Districts!A:P,16,FALSE)</f>
        <v>DLGZZKDEVMN9</v>
      </c>
      <c r="E342" t="s">
        <v>528</v>
      </c>
      <c r="F342" s="1">
        <v>45200</v>
      </c>
      <c r="G342" t="s">
        <v>529</v>
      </c>
      <c r="H342" t="s">
        <v>530</v>
      </c>
      <c r="I342" s="59">
        <f>VLOOKUP(A342,'611'!D:F,3,FALSE)</f>
        <v>23375.88</v>
      </c>
      <c r="J342" s="59">
        <f>VLOOKUP(A342,'611'!D:Q,14,FALSE)</f>
        <v>23375.88</v>
      </c>
      <c r="K342" s="59">
        <f>VLOOKUP(A342,'611'!D:Q,14,FALSE)</f>
        <v>23375.88</v>
      </c>
      <c r="O342" t="s">
        <v>531</v>
      </c>
      <c r="P342" t="str">
        <f>_xlfn.IFNA(VLOOKUP(A342,IndirectCost!B:L,11,FALSE),"")</f>
        <v/>
      </c>
      <c r="Q342">
        <f t="shared" si="5"/>
        <v>0</v>
      </c>
    </row>
    <row r="343" spans="1:17">
      <c r="A343" t="s">
        <v>273</v>
      </c>
      <c r="B343" t="s">
        <v>948</v>
      </c>
      <c r="C343" t="str">
        <f>VLOOKUP(A343,Districts!A:I,9,FALSE)</f>
        <v>Khalsa Family Services</v>
      </c>
      <c r="D343" t="str">
        <f>VLOOKUP(A343,Districts!A:P,16,FALSE)</f>
        <v>XFP2MXRFPJ46</v>
      </c>
      <c r="E343" t="s">
        <v>528</v>
      </c>
      <c r="F343" s="1">
        <v>45200</v>
      </c>
      <c r="G343" t="s">
        <v>529</v>
      </c>
      <c r="H343" t="s">
        <v>530</v>
      </c>
      <c r="I343" s="59">
        <f>VLOOKUP(A343,'611'!D:F,3,FALSE)</f>
        <v>41048.94</v>
      </c>
      <c r="J343" s="59">
        <f>VLOOKUP(A343,'611'!D:Q,14,FALSE)</f>
        <v>41048.94</v>
      </c>
      <c r="K343" s="59">
        <f>VLOOKUP(A343,'611'!D:Q,14,FALSE)</f>
        <v>41048.94</v>
      </c>
      <c r="O343" t="s">
        <v>531</v>
      </c>
      <c r="P343" t="str">
        <f>_xlfn.IFNA(VLOOKUP(A343,IndirectCost!B:L,11,FALSE),"")</f>
        <v/>
      </c>
      <c r="Q343">
        <f t="shared" si="5"/>
        <v>0</v>
      </c>
    </row>
    <row r="344" spans="1:17">
      <c r="A344" t="s">
        <v>274</v>
      </c>
      <c r="B344" t="s">
        <v>949</v>
      </c>
      <c r="C344" t="str">
        <f>VLOOKUP(A344,Districts!A:I,9,FALSE)</f>
        <v>Khalsa Montessori Elementary School</v>
      </c>
      <c r="D344" t="str">
        <f>VLOOKUP(A344,Districts!A:P,16,FALSE)</f>
        <v>EJ16QHJHA8C5</v>
      </c>
      <c r="E344" t="s">
        <v>528</v>
      </c>
      <c r="F344" s="1">
        <v>45200</v>
      </c>
      <c r="G344" t="s">
        <v>529</v>
      </c>
      <c r="H344" t="s">
        <v>530</v>
      </c>
      <c r="I344" s="59">
        <f>VLOOKUP(A344,'611'!D:F,3,FALSE)</f>
        <v>15153.83</v>
      </c>
      <c r="J344" s="59">
        <f>VLOOKUP(A344,'611'!D:Q,14,FALSE)</f>
        <v>18006.5</v>
      </c>
      <c r="K344" s="59">
        <f>VLOOKUP(A344,'611'!D:Q,14,FALSE)</f>
        <v>18006.5</v>
      </c>
      <c r="O344" t="s">
        <v>531</v>
      </c>
      <c r="P344" t="str">
        <f>_xlfn.IFNA(VLOOKUP(A344,IndirectCost!B:L,11,FALSE),"")</f>
        <v/>
      </c>
      <c r="Q344">
        <f t="shared" si="5"/>
        <v>0</v>
      </c>
    </row>
    <row r="345" spans="1:17">
      <c r="A345" t="s">
        <v>275</v>
      </c>
      <c r="B345" t="s">
        <v>950</v>
      </c>
      <c r="C345" t="str">
        <f>VLOOKUP(A345,Districts!A:I,9,FALSE)</f>
        <v>Kingman Academy of Learning</v>
      </c>
      <c r="D345" t="str">
        <f>VLOOKUP(A345,Districts!A:P,16,FALSE)</f>
        <v>TSELAMNTU241</v>
      </c>
      <c r="E345" t="s">
        <v>528</v>
      </c>
      <c r="F345" s="1">
        <v>45200</v>
      </c>
      <c r="G345" t="s">
        <v>529</v>
      </c>
      <c r="H345" t="s">
        <v>530</v>
      </c>
      <c r="I345" s="59">
        <f>VLOOKUP(A345,'611'!D:F,3,FALSE)</f>
        <v>262468.89</v>
      </c>
      <c r="J345" s="59">
        <f>VLOOKUP(A345,'611'!D:Q,14,FALSE)</f>
        <v>393963.37</v>
      </c>
      <c r="K345" s="59">
        <f>VLOOKUP(A345,'611'!D:Q,14,FALSE)</f>
        <v>393963.37</v>
      </c>
      <c r="O345" t="s">
        <v>531</v>
      </c>
      <c r="P345" t="str">
        <f>_xlfn.IFNA(VLOOKUP(A345,IndirectCost!B:L,11,FALSE),"")</f>
        <v/>
      </c>
      <c r="Q345">
        <f t="shared" si="5"/>
        <v>0</v>
      </c>
    </row>
    <row r="346" spans="1:17">
      <c r="A346" t="s">
        <v>276</v>
      </c>
      <c r="B346" t="s">
        <v>951</v>
      </c>
      <c r="C346" t="str">
        <f>VLOOKUP(A346,Districts!A:I,9,FALSE)</f>
        <v>Kingman Unified School District No. 20</v>
      </c>
      <c r="D346" t="str">
        <f>VLOOKUP(A346,Districts!A:P,16,FALSE)</f>
        <v>R7SVWNM8LNF5</v>
      </c>
      <c r="E346" t="s">
        <v>528</v>
      </c>
      <c r="F346" s="1">
        <v>45200</v>
      </c>
      <c r="G346" t="s">
        <v>529</v>
      </c>
      <c r="H346" t="s">
        <v>530</v>
      </c>
      <c r="I346" s="59">
        <f>VLOOKUP(A346,'611'!D:F,3,FALSE)</f>
        <v>1688481.94</v>
      </c>
      <c r="J346" s="59">
        <f>VLOOKUP(A346,'611'!D:Q,14,FALSE)</f>
        <v>2465321.25</v>
      </c>
      <c r="K346" s="59">
        <f>VLOOKUP(A346,'611'!D:Q,14,FALSE)</f>
        <v>2465321.25</v>
      </c>
      <c r="O346" t="s">
        <v>531</v>
      </c>
      <c r="P346">
        <f>_xlfn.IFNA(VLOOKUP(A346,IndirectCost!B:L,11,FALSE),"")</f>
        <v>0</v>
      </c>
      <c r="Q346">
        <f t="shared" si="5"/>
        <v>0</v>
      </c>
    </row>
    <row r="347" spans="1:17">
      <c r="A347" t="s">
        <v>277</v>
      </c>
      <c r="B347" t="s">
        <v>952</v>
      </c>
      <c r="C347" t="str">
        <f>VLOOKUP(A347,Districts!A:I,9,FALSE)</f>
        <v>Kirkland Elem School District 23</v>
      </c>
      <c r="D347" t="str">
        <f>VLOOKUP(A347,Districts!A:P,16,FALSE)</f>
        <v>MG3AN1P6VM52</v>
      </c>
      <c r="E347" t="s">
        <v>528</v>
      </c>
      <c r="F347" s="1">
        <v>45200</v>
      </c>
      <c r="G347" t="s">
        <v>529</v>
      </c>
      <c r="H347" t="s">
        <v>530</v>
      </c>
      <c r="I347" s="59">
        <f>VLOOKUP(A347,'611'!D:F,3,FALSE)</f>
        <v>24699.23</v>
      </c>
      <c r="J347" s="59">
        <f>VLOOKUP(A347,'611'!D:Q,14,FALSE)</f>
        <v>26668.240000000002</v>
      </c>
      <c r="K347" s="59">
        <f>VLOOKUP(A347,'611'!D:Q,14,FALSE)</f>
        <v>26668.240000000002</v>
      </c>
      <c r="O347" t="s">
        <v>531</v>
      </c>
      <c r="P347" t="str">
        <f>_xlfn.IFNA(VLOOKUP(A347,IndirectCost!B:L,11,FALSE),"")</f>
        <v/>
      </c>
      <c r="Q347">
        <f t="shared" si="5"/>
        <v>0</v>
      </c>
    </row>
    <row r="348" spans="1:17">
      <c r="A348" t="s">
        <v>278</v>
      </c>
      <c r="B348" t="s">
        <v>953</v>
      </c>
      <c r="C348" t="str">
        <f>VLOOKUP(A348,Districts!A:I,9,FALSE)</f>
        <v>KYRENE ELEMENTARY SCHOOL DISTRICT NO 28</v>
      </c>
      <c r="D348" t="str">
        <f>VLOOKUP(A348,Districts!A:P,16,FALSE)</f>
        <v>CGJAA25W6GZ1</v>
      </c>
      <c r="E348" t="s">
        <v>528</v>
      </c>
      <c r="F348" s="1">
        <v>45200</v>
      </c>
      <c r="G348" t="s">
        <v>529</v>
      </c>
      <c r="H348" t="s">
        <v>530</v>
      </c>
      <c r="I348" s="59">
        <f>VLOOKUP(A348,'611'!D:F,3,FALSE)</f>
        <v>2866509.76</v>
      </c>
      <c r="J348" s="59">
        <f>VLOOKUP(A348,'611'!D:Q,14,FALSE)</f>
        <v>4136176.48</v>
      </c>
      <c r="K348" s="59">
        <f>VLOOKUP(A348,'611'!D:Q,14,FALSE)</f>
        <v>4136176.48</v>
      </c>
      <c r="O348" t="s">
        <v>531</v>
      </c>
      <c r="P348">
        <f>_xlfn.IFNA(VLOOKUP(A348,IndirectCost!B:L,11,FALSE),"")</f>
        <v>3.15</v>
      </c>
      <c r="Q348">
        <f t="shared" si="5"/>
        <v>3.15E-2</v>
      </c>
    </row>
    <row r="349" spans="1:17">
      <c r="A349" t="s">
        <v>954</v>
      </c>
      <c r="B349" t="s">
        <v>955</v>
      </c>
      <c r="C349" t="str">
        <f>VLOOKUP(A349,Districts!A:I,9,FALSE)</f>
        <v>La Paz County</v>
      </c>
      <c r="D349">
        <f>VLOOKUP(A349,Districts!A:P,16,FALSE)</f>
        <v>0</v>
      </c>
      <c r="E349" t="s">
        <v>528</v>
      </c>
      <c r="F349" s="1">
        <v>45200</v>
      </c>
      <c r="G349" t="s">
        <v>529</v>
      </c>
      <c r="H349" t="s">
        <v>530</v>
      </c>
      <c r="I349" s="59">
        <f>VLOOKUP(A349,'611'!D:F,3,FALSE)</f>
        <v>968.36</v>
      </c>
      <c r="J349" s="59">
        <f>VLOOKUP(A349,'611'!D:Q,14,FALSE)</f>
        <v>968.36</v>
      </c>
      <c r="K349" s="59">
        <f>VLOOKUP(A349,'611'!D:Q,14,FALSE)</f>
        <v>968.36</v>
      </c>
      <c r="O349" t="s">
        <v>531</v>
      </c>
      <c r="P349" t="str">
        <f>_xlfn.IFNA(VLOOKUP(A349,IndirectCost!B:L,11,FALSE),"")</f>
        <v/>
      </c>
      <c r="Q349">
        <f t="shared" si="5"/>
        <v>0</v>
      </c>
    </row>
    <row r="350" spans="1:17">
      <c r="A350" t="s">
        <v>279</v>
      </c>
      <c r="B350" t="s">
        <v>956</v>
      </c>
      <c r="C350" t="str">
        <f>VLOOKUP(A350,Districts!A:I,9,FALSE)</f>
        <v>La Tierra Community School</v>
      </c>
      <c r="D350" t="str">
        <f>VLOOKUP(A350,Districts!A:P,16,FALSE)</f>
        <v>HCUPGRJ5JJC1</v>
      </c>
      <c r="E350" t="s">
        <v>528</v>
      </c>
      <c r="F350" s="1">
        <v>45200</v>
      </c>
      <c r="G350" t="s">
        <v>529</v>
      </c>
      <c r="H350" t="s">
        <v>530</v>
      </c>
      <c r="I350" s="59">
        <f>VLOOKUP(A350,'611'!D:F,3,FALSE)</f>
        <v>18036.32</v>
      </c>
      <c r="J350" s="59">
        <f>VLOOKUP(A350,'611'!D:Q,14,FALSE)</f>
        <v>18928.3</v>
      </c>
      <c r="K350" s="59">
        <f>VLOOKUP(A350,'611'!D:Q,14,FALSE)</f>
        <v>18928.3</v>
      </c>
      <c r="O350" t="s">
        <v>531</v>
      </c>
      <c r="P350" t="str">
        <f>_xlfn.IFNA(VLOOKUP(A350,IndirectCost!B:L,11,FALSE),"")</f>
        <v/>
      </c>
      <c r="Q350">
        <f t="shared" si="5"/>
        <v>0</v>
      </c>
    </row>
    <row r="351" spans="1:17">
      <c r="A351" t="s">
        <v>280</v>
      </c>
      <c r="B351" t="s">
        <v>957</v>
      </c>
      <c r="C351" t="str">
        <f>VLOOKUP(A351,Districts!A:I,9,FALSE)</f>
        <v>Lake Havasu Unified School District #1</v>
      </c>
      <c r="D351" t="str">
        <f>VLOOKUP(A351,Districts!A:P,16,FALSE)</f>
        <v>JTDHRRQJKUV6</v>
      </c>
      <c r="E351" t="s">
        <v>528</v>
      </c>
      <c r="F351" s="1">
        <v>45200</v>
      </c>
      <c r="G351" t="s">
        <v>529</v>
      </c>
      <c r="H351" t="s">
        <v>530</v>
      </c>
      <c r="I351" s="59">
        <f>VLOOKUP(A351,'611'!D:F,3,FALSE)</f>
        <v>1147143.55</v>
      </c>
      <c r="J351" s="59">
        <f>VLOOKUP(A351,'611'!D:Q,14,FALSE)</f>
        <v>1555510.67</v>
      </c>
      <c r="K351" s="59">
        <f>VLOOKUP(A351,'611'!D:Q,14,FALSE)</f>
        <v>1555510.67</v>
      </c>
      <c r="O351" t="s">
        <v>531</v>
      </c>
      <c r="P351">
        <f>_xlfn.IFNA(VLOOKUP(A351,IndirectCost!B:L,11,FALSE),"")</f>
        <v>4</v>
      </c>
      <c r="Q351">
        <f t="shared" si="5"/>
        <v>0.04</v>
      </c>
    </row>
    <row r="352" spans="1:17">
      <c r="A352" t="s">
        <v>281</v>
      </c>
      <c r="B352" t="s">
        <v>958</v>
      </c>
      <c r="C352" t="str">
        <f>VLOOKUP(A352,Districts!A:I,9,FALSE)</f>
        <v>Laveen School District 59</v>
      </c>
      <c r="D352" t="str">
        <f>VLOOKUP(A352,Districts!A:P,16,FALSE)</f>
        <v>FS6MEGLSJWS8</v>
      </c>
      <c r="E352" t="s">
        <v>528</v>
      </c>
      <c r="F352" s="1">
        <v>45200</v>
      </c>
      <c r="G352" t="s">
        <v>529</v>
      </c>
      <c r="H352" t="s">
        <v>530</v>
      </c>
      <c r="I352" s="59">
        <f>VLOOKUP(A352,'611'!D:F,3,FALSE)</f>
        <v>1353712.69</v>
      </c>
      <c r="J352" s="59">
        <f>VLOOKUP(A352,'611'!D:Q,14,FALSE)</f>
        <v>1783700.93</v>
      </c>
      <c r="K352" s="59">
        <f>VLOOKUP(A352,'611'!D:Q,14,FALSE)</f>
        <v>1783700.93</v>
      </c>
      <c r="O352" t="s">
        <v>531</v>
      </c>
      <c r="P352">
        <f>_xlfn.IFNA(VLOOKUP(A352,IndirectCost!B:L,11,FALSE),"")</f>
        <v>4.47</v>
      </c>
      <c r="Q352">
        <f t="shared" si="5"/>
        <v>4.4699999999999997E-2</v>
      </c>
    </row>
    <row r="353" spans="1:17">
      <c r="A353" t="s">
        <v>282</v>
      </c>
      <c r="B353" t="s">
        <v>959</v>
      </c>
      <c r="C353" t="str">
        <f>VLOOKUP(A353,Districts!A:I,9,FALSE)</f>
        <v>LEAD Charter Schools</v>
      </c>
      <c r="D353" t="str">
        <f>VLOOKUP(A353,Districts!A:P,16,FALSE)</f>
        <v>PWCNN9MKRB87</v>
      </c>
      <c r="E353" t="s">
        <v>528</v>
      </c>
      <c r="F353" s="1">
        <v>45200</v>
      </c>
      <c r="G353" t="s">
        <v>529</v>
      </c>
      <c r="H353" t="s">
        <v>530</v>
      </c>
      <c r="I353" s="59">
        <f>VLOOKUP(A353,'611'!D:F,3,FALSE)</f>
        <v>152926.15</v>
      </c>
      <c r="J353" s="59">
        <f>VLOOKUP(A353,'611'!D:Q,14,FALSE)</f>
        <v>152926.15</v>
      </c>
      <c r="K353" s="59">
        <f>VLOOKUP(A353,'611'!D:Q,14,FALSE)</f>
        <v>152926.15</v>
      </c>
      <c r="O353" t="s">
        <v>531</v>
      </c>
      <c r="P353">
        <f>_xlfn.IFNA(VLOOKUP(A353,IndirectCost!B:L,11,FALSE),"")</f>
        <v>8</v>
      </c>
      <c r="Q353">
        <f t="shared" si="5"/>
        <v>0.08</v>
      </c>
    </row>
    <row r="354" spans="1:17">
      <c r="A354" t="s">
        <v>283</v>
      </c>
      <c r="B354" t="s">
        <v>960</v>
      </c>
      <c r="C354" t="str">
        <f>VLOOKUP(A354,Districts!A:I,9,FALSE)</f>
        <v>Leading Edge Academy Maricopa</v>
      </c>
      <c r="D354" t="str">
        <f>VLOOKUP(A354,Districts!A:P,16,FALSE)</f>
        <v>YAN5UFNF5594</v>
      </c>
      <c r="E354" t="s">
        <v>528</v>
      </c>
      <c r="F354" s="1">
        <v>45200</v>
      </c>
      <c r="G354" t="s">
        <v>529</v>
      </c>
      <c r="H354" t="s">
        <v>530</v>
      </c>
      <c r="I354" s="59">
        <f>VLOOKUP(A354,'611'!D:F,3,FALSE)</f>
        <v>122645.82</v>
      </c>
      <c r="J354" s="59">
        <f>VLOOKUP(A354,'611'!D:Q,14,FALSE)</f>
        <v>122645.82</v>
      </c>
      <c r="K354" s="59">
        <f>VLOOKUP(A354,'611'!D:Q,14,FALSE)</f>
        <v>122645.82</v>
      </c>
      <c r="O354" t="s">
        <v>531</v>
      </c>
      <c r="P354">
        <f>_xlfn.IFNA(VLOOKUP(A354,IndirectCost!B:L,11,FALSE),"")</f>
        <v>8</v>
      </c>
      <c r="Q354">
        <f t="shared" si="5"/>
        <v>0.08</v>
      </c>
    </row>
    <row r="355" spans="1:17">
      <c r="A355" t="s">
        <v>284</v>
      </c>
      <c r="B355" t="s">
        <v>961</v>
      </c>
      <c r="C355" t="str">
        <f>VLOOKUP(A355,Districts!A:I,9,FALSE)</f>
        <v>Leading Edge Academy Queen Creek</v>
      </c>
      <c r="D355" t="str">
        <f>VLOOKUP(A355,Districts!A:P,16,FALSE)</f>
        <v>QWMTHR8KTNW1</v>
      </c>
      <c r="E355" t="s">
        <v>528</v>
      </c>
      <c r="F355" s="1">
        <v>45200</v>
      </c>
      <c r="G355" t="s">
        <v>529</v>
      </c>
      <c r="H355" t="s">
        <v>530</v>
      </c>
      <c r="I355" s="59">
        <f>VLOOKUP(A355,'611'!D:F,3,FALSE)</f>
        <v>58446.12</v>
      </c>
      <c r="J355" s="59">
        <f>VLOOKUP(A355,'611'!D:Q,14,FALSE)</f>
        <v>58446.12</v>
      </c>
      <c r="K355" s="59">
        <f>VLOOKUP(A355,'611'!D:Q,14,FALSE)</f>
        <v>58446.12</v>
      </c>
      <c r="O355" t="s">
        <v>531</v>
      </c>
      <c r="P355">
        <f>_xlfn.IFNA(VLOOKUP(A355,IndirectCost!B:L,11,FALSE),"")</f>
        <v>8</v>
      </c>
      <c r="Q355">
        <f t="shared" si="5"/>
        <v>0.08</v>
      </c>
    </row>
    <row r="356" spans="1:17">
      <c r="A356" t="s">
        <v>962</v>
      </c>
      <c r="B356" t="s">
        <v>963</v>
      </c>
      <c r="C356" t="str">
        <f>VLOOKUP(A356,Districts!A:I,9,FALSE)</f>
        <v>Legacy Education Group</v>
      </c>
      <c r="D356" t="str">
        <f>VLOOKUP(A356,Districts!A:P,16,FALSE)</f>
        <v>Z8BRMCFAJFB7</v>
      </c>
      <c r="E356" t="s">
        <v>528</v>
      </c>
      <c r="F356" s="1">
        <v>45200</v>
      </c>
      <c r="G356" t="s">
        <v>529</v>
      </c>
      <c r="H356" t="s">
        <v>530</v>
      </c>
      <c r="I356" s="59">
        <f>VLOOKUP(A356,'611'!D:F,3,FALSE)</f>
        <v>25982.97</v>
      </c>
      <c r="J356" s="59">
        <f>VLOOKUP(A356,'611'!D:Q,14,FALSE)</f>
        <v>27174.69</v>
      </c>
      <c r="K356" s="59">
        <f>VLOOKUP(A356,'611'!D:Q,14,FALSE)</f>
        <v>27174.69</v>
      </c>
      <c r="O356" t="s">
        <v>531</v>
      </c>
      <c r="P356">
        <f>_xlfn.IFNA(VLOOKUP(A356,IndirectCost!B:L,11,FALSE),"")</f>
        <v>8</v>
      </c>
      <c r="Q356">
        <f t="shared" si="5"/>
        <v>0.08</v>
      </c>
    </row>
    <row r="357" spans="1:17">
      <c r="A357" t="s">
        <v>285</v>
      </c>
      <c r="B357" t="s">
        <v>964</v>
      </c>
      <c r="C357" t="str">
        <f>VLOOKUP(A357,Districts!A:I,9,FALSE)</f>
        <v>Legacy Traditional Avondale</v>
      </c>
      <c r="D357" t="str">
        <f>VLOOKUP(A357,Districts!A:P,16,FALSE)</f>
        <v>JEJ2VLBQP9Z3</v>
      </c>
      <c r="E357" t="s">
        <v>528</v>
      </c>
      <c r="F357" s="1">
        <v>45200</v>
      </c>
      <c r="G357" t="s">
        <v>529</v>
      </c>
      <c r="H357" t="s">
        <v>530</v>
      </c>
      <c r="I357" s="59">
        <f>VLOOKUP(A357,'611'!D:F,3,FALSE)</f>
        <v>198174.25</v>
      </c>
      <c r="J357" s="59">
        <f>VLOOKUP(A357,'611'!D:Q,14,FALSE)</f>
        <v>355708.67</v>
      </c>
      <c r="K357" s="59">
        <f>VLOOKUP(A357,'611'!D:Q,14,FALSE)</f>
        <v>355708.67</v>
      </c>
      <c r="O357" t="s">
        <v>531</v>
      </c>
      <c r="P357">
        <f>_xlfn.IFNA(VLOOKUP(A357,IndirectCost!B:L,11,FALSE),"")</f>
        <v>8</v>
      </c>
      <c r="Q357">
        <f t="shared" si="5"/>
        <v>0.08</v>
      </c>
    </row>
    <row r="358" spans="1:17">
      <c r="A358" t="s">
        <v>286</v>
      </c>
      <c r="B358" t="s">
        <v>965</v>
      </c>
      <c r="C358" t="str">
        <f>VLOOKUP(A358,Districts!A:I,9,FALSE)</f>
        <v>Legacy Traditional School - Casa Grande</v>
      </c>
      <c r="D358" t="str">
        <f>VLOOKUP(A358,Districts!A:P,16,FALSE)</f>
        <v>ZE7MM2MACN71</v>
      </c>
      <c r="E358" t="s">
        <v>528</v>
      </c>
      <c r="F358" s="1">
        <v>45200</v>
      </c>
      <c r="G358" t="s">
        <v>529</v>
      </c>
      <c r="H358" t="s">
        <v>530</v>
      </c>
      <c r="I358" s="59">
        <f>VLOOKUP(A358,'611'!D:F,3,FALSE)</f>
        <v>240454.03</v>
      </c>
      <c r="J358" s="59">
        <f>VLOOKUP(A358,'611'!D:Q,14,FALSE)</f>
        <v>277138.19</v>
      </c>
      <c r="K358" s="59">
        <f>VLOOKUP(A358,'611'!D:Q,14,FALSE)</f>
        <v>277138.19</v>
      </c>
      <c r="O358" t="s">
        <v>531</v>
      </c>
      <c r="P358">
        <f>_xlfn.IFNA(VLOOKUP(A358,IndirectCost!B:L,11,FALSE),"")</f>
        <v>8</v>
      </c>
      <c r="Q358">
        <f t="shared" si="5"/>
        <v>0.08</v>
      </c>
    </row>
    <row r="359" spans="1:17">
      <c r="A359" t="s">
        <v>287</v>
      </c>
      <c r="B359" t="s">
        <v>966</v>
      </c>
      <c r="C359" t="str">
        <f>VLOOKUP(A359,Districts!A:I,9,FALSE)</f>
        <v>Legacy Traditional School</v>
      </c>
      <c r="D359" t="str">
        <f>VLOOKUP(A359,Districts!A:P,16,FALSE)</f>
        <v>LDNZYPK1KGP9</v>
      </c>
      <c r="E359" t="s">
        <v>528</v>
      </c>
      <c r="F359" s="1">
        <v>45200</v>
      </c>
      <c r="G359" t="s">
        <v>529</v>
      </c>
      <c r="H359" t="s">
        <v>530</v>
      </c>
      <c r="I359" s="59">
        <f>VLOOKUP(A359,'611'!D:F,3,FALSE)</f>
        <v>152436.91</v>
      </c>
      <c r="J359" s="59">
        <f>VLOOKUP(A359,'611'!D:Q,14,FALSE)</f>
        <v>174581.07</v>
      </c>
      <c r="K359" s="59">
        <f>VLOOKUP(A359,'611'!D:Q,14,FALSE)</f>
        <v>174581.07</v>
      </c>
      <c r="O359" t="s">
        <v>531</v>
      </c>
      <c r="P359">
        <f>_xlfn.IFNA(VLOOKUP(A359,IndirectCost!B:L,11,FALSE),"")</f>
        <v>8</v>
      </c>
      <c r="Q359">
        <f t="shared" si="5"/>
        <v>0.08</v>
      </c>
    </row>
    <row r="360" spans="1:17">
      <c r="A360" t="s">
        <v>288</v>
      </c>
      <c r="B360" t="s">
        <v>967</v>
      </c>
      <c r="C360" t="str">
        <f>VLOOKUP(A360,Districts!A:I,9,FALSE)</f>
        <v>Legacy Traditional School - Deer Valley</v>
      </c>
      <c r="D360" t="str">
        <f>VLOOKUP(A360,Districts!A:P,16,FALSE)</f>
        <v>NTF5Y2N6CAX8</v>
      </c>
      <c r="E360" t="s">
        <v>528</v>
      </c>
      <c r="F360" s="1">
        <v>45200</v>
      </c>
      <c r="G360" t="s">
        <v>529</v>
      </c>
      <c r="H360" t="s">
        <v>530</v>
      </c>
      <c r="I360" s="59">
        <f>VLOOKUP(A360,'611'!D:F,3,FALSE)</f>
        <v>76403.56</v>
      </c>
      <c r="J360" s="59">
        <f>VLOOKUP(A360,'611'!D:Q,14,FALSE)</f>
        <v>89387.83</v>
      </c>
      <c r="K360" s="59">
        <f>VLOOKUP(A360,'611'!D:Q,14,FALSE)</f>
        <v>89387.83</v>
      </c>
      <c r="O360" t="s">
        <v>531</v>
      </c>
      <c r="P360">
        <f>_xlfn.IFNA(VLOOKUP(A360,IndirectCost!B:L,11,FALSE),"")</f>
        <v>0</v>
      </c>
      <c r="Q360">
        <f t="shared" si="5"/>
        <v>0</v>
      </c>
    </row>
    <row r="361" spans="1:17">
      <c r="A361" t="s">
        <v>289</v>
      </c>
      <c r="B361" t="s">
        <v>968</v>
      </c>
      <c r="C361" t="str">
        <f>VLOOKUP(A361,Districts!A:I,9,FALSE)</f>
        <v>Legacy Traditional School - East Mesa</v>
      </c>
      <c r="D361" t="str">
        <f>VLOOKUP(A361,Districts!A:P,16,FALSE)</f>
        <v>P3C7KBMYS4T5</v>
      </c>
      <c r="E361" t="s">
        <v>528</v>
      </c>
      <c r="F361" s="1">
        <v>45200</v>
      </c>
      <c r="G361" t="s">
        <v>529</v>
      </c>
      <c r="H361" t="s">
        <v>530</v>
      </c>
      <c r="I361" s="59">
        <f>VLOOKUP(A361,'611'!D:F,3,FALSE)</f>
        <v>163037.98000000001</v>
      </c>
      <c r="J361" s="59">
        <f>VLOOKUP(A361,'611'!D:Q,14,FALSE)</f>
        <v>280064.87</v>
      </c>
      <c r="K361" s="59">
        <f>VLOOKUP(A361,'611'!D:Q,14,FALSE)</f>
        <v>280064.87</v>
      </c>
      <c r="O361" t="s">
        <v>531</v>
      </c>
      <c r="P361">
        <f>_xlfn.IFNA(VLOOKUP(A361,IndirectCost!B:L,11,FALSE),"")</f>
        <v>8</v>
      </c>
      <c r="Q361">
        <f t="shared" si="5"/>
        <v>0.08</v>
      </c>
    </row>
    <row r="362" spans="1:17">
      <c r="A362" t="s">
        <v>290</v>
      </c>
      <c r="B362" t="s">
        <v>969</v>
      </c>
      <c r="C362" t="str">
        <f>VLOOKUP(A362,Districts!A:I,9,FALSE)</f>
        <v>Legacy Traditional School - East Tucson</v>
      </c>
      <c r="D362" t="str">
        <f>VLOOKUP(A362,Districts!A:P,16,FALSE)</f>
        <v>MKM5UX7A2D17</v>
      </c>
      <c r="E362" t="s">
        <v>528</v>
      </c>
      <c r="F362" s="1">
        <v>45200</v>
      </c>
      <c r="G362" t="s">
        <v>529</v>
      </c>
      <c r="H362" t="s">
        <v>530</v>
      </c>
      <c r="I362" s="59">
        <f>VLOOKUP(A362,'611'!D:F,3,FALSE)</f>
        <v>75828.08</v>
      </c>
      <c r="J362" s="59">
        <f>VLOOKUP(A362,'611'!D:Q,14,FALSE)</f>
        <v>109244.91</v>
      </c>
      <c r="K362" s="59">
        <f>VLOOKUP(A362,'611'!D:Q,14,FALSE)</f>
        <v>109244.91</v>
      </c>
      <c r="O362" t="s">
        <v>531</v>
      </c>
      <c r="P362">
        <f>_xlfn.IFNA(VLOOKUP(A362,IndirectCost!B:L,11,FALSE),"")</f>
        <v>0</v>
      </c>
      <c r="Q362">
        <f t="shared" si="5"/>
        <v>0</v>
      </c>
    </row>
    <row r="363" spans="1:17">
      <c r="A363" t="s">
        <v>291</v>
      </c>
      <c r="B363" t="s">
        <v>970</v>
      </c>
      <c r="C363" t="str">
        <f>VLOOKUP(A363,Districts!A:I,9,FALSE)</f>
        <v>Legacy Traditional School - Gilbert</v>
      </c>
      <c r="D363" t="str">
        <f>VLOOKUP(A363,Districts!A:P,16,FALSE)</f>
        <v>MSBFC4M82DY7</v>
      </c>
      <c r="E363" t="s">
        <v>528</v>
      </c>
      <c r="F363" s="1">
        <v>45200</v>
      </c>
      <c r="G363" t="s">
        <v>529</v>
      </c>
      <c r="H363" t="s">
        <v>530</v>
      </c>
      <c r="I363" s="59">
        <f>VLOOKUP(A363,'611'!D:F,3,FALSE)</f>
        <v>151950.99</v>
      </c>
      <c r="J363" s="59">
        <f>VLOOKUP(A363,'611'!D:Q,14,FALSE)</f>
        <v>151950.99</v>
      </c>
      <c r="K363" s="59">
        <f>VLOOKUP(A363,'611'!D:Q,14,FALSE)</f>
        <v>151950.99</v>
      </c>
      <c r="O363" t="s">
        <v>531</v>
      </c>
      <c r="P363">
        <f>_xlfn.IFNA(VLOOKUP(A363,IndirectCost!B:L,11,FALSE),"")</f>
        <v>8</v>
      </c>
      <c r="Q363">
        <f t="shared" si="5"/>
        <v>0.08</v>
      </c>
    </row>
    <row r="364" spans="1:17">
      <c r="A364" t="s">
        <v>292</v>
      </c>
      <c r="B364" t="s">
        <v>971</v>
      </c>
      <c r="C364" t="str">
        <f>VLOOKUP(A364,Districts!A:I,9,FALSE)</f>
        <v>Legacy Traditional School - Glendale</v>
      </c>
      <c r="D364" t="str">
        <f>VLOOKUP(A364,Districts!A:P,16,FALSE)</f>
        <v>YGUMC9RWCNJ1</v>
      </c>
      <c r="E364" t="s">
        <v>528</v>
      </c>
      <c r="F364" s="1">
        <v>45200</v>
      </c>
      <c r="G364" t="s">
        <v>529</v>
      </c>
      <c r="H364" t="s">
        <v>530</v>
      </c>
      <c r="I364" s="59">
        <f>VLOOKUP(A364,'611'!D:F,3,FALSE)</f>
        <v>203020.95</v>
      </c>
      <c r="J364" s="59">
        <f>VLOOKUP(A364,'611'!D:Q,14,FALSE)</f>
        <v>261683.03</v>
      </c>
      <c r="K364" s="59">
        <f>VLOOKUP(A364,'611'!D:Q,14,FALSE)</f>
        <v>261683.03</v>
      </c>
      <c r="O364" t="s">
        <v>531</v>
      </c>
      <c r="P364">
        <f>_xlfn.IFNA(VLOOKUP(A364,IndirectCost!B:L,11,FALSE),"")</f>
        <v>8</v>
      </c>
      <c r="Q364">
        <f t="shared" si="5"/>
        <v>0.08</v>
      </c>
    </row>
    <row r="365" spans="1:17">
      <c r="A365" t="s">
        <v>293</v>
      </c>
      <c r="B365" t="s">
        <v>972</v>
      </c>
      <c r="C365" t="str">
        <f>VLOOKUP(A365,Districts!A:I,9,FALSE)</f>
        <v>Legacy Traditional School - Goodyear</v>
      </c>
      <c r="D365" t="str">
        <f>VLOOKUP(A365,Districts!A:P,16,FALSE)</f>
        <v>VMSXC83GZKZ8</v>
      </c>
      <c r="E365" t="s">
        <v>528</v>
      </c>
      <c r="F365" s="1">
        <v>45200</v>
      </c>
      <c r="G365" t="s">
        <v>529</v>
      </c>
      <c r="H365" t="s">
        <v>530</v>
      </c>
      <c r="I365" s="59">
        <f>VLOOKUP(A365,'611'!D:F,3,FALSE)</f>
        <v>92187.3</v>
      </c>
      <c r="J365" s="59">
        <f>VLOOKUP(A365,'611'!D:Q,14,FALSE)</f>
        <v>92187.3</v>
      </c>
      <c r="K365" s="59">
        <f>VLOOKUP(A365,'611'!D:Q,14,FALSE)</f>
        <v>92187.3</v>
      </c>
      <c r="O365" t="s">
        <v>531</v>
      </c>
      <c r="P365">
        <f>_xlfn.IFNA(VLOOKUP(A365,IndirectCost!B:L,11,FALSE),"")</f>
        <v>8</v>
      </c>
      <c r="Q365">
        <f t="shared" si="5"/>
        <v>0.08</v>
      </c>
    </row>
    <row r="366" spans="1:17">
      <c r="A366" t="s">
        <v>294</v>
      </c>
      <c r="B366" t="s">
        <v>973</v>
      </c>
      <c r="C366" t="str">
        <f>VLOOKUP(A366,Districts!A:I,9,FALSE)</f>
        <v>LTS Laveen</v>
      </c>
      <c r="D366" t="str">
        <f>VLOOKUP(A366,Districts!A:P,16,FALSE)</f>
        <v>C3JCUCEZ9543</v>
      </c>
      <c r="E366" t="s">
        <v>528</v>
      </c>
      <c r="F366" s="1">
        <v>45200</v>
      </c>
      <c r="G366" t="s">
        <v>529</v>
      </c>
      <c r="H366" t="s">
        <v>530</v>
      </c>
      <c r="I366" s="59">
        <f>VLOOKUP(A366,'611'!D:F,3,FALSE)</f>
        <v>170199.29</v>
      </c>
      <c r="J366" s="59">
        <f>VLOOKUP(A366,'611'!D:Q,14,FALSE)</f>
        <v>172293.58</v>
      </c>
      <c r="K366" s="59">
        <f>VLOOKUP(A366,'611'!D:Q,14,FALSE)</f>
        <v>172293.58</v>
      </c>
      <c r="O366" t="s">
        <v>531</v>
      </c>
      <c r="P366">
        <f>_xlfn.IFNA(VLOOKUP(A366,IndirectCost!B:L,11,FALSE),"")</f>
        <v>8</v>
      </c>
      <c r="Q366">
        <f t="shared" si="5"/>
        <v>0.08</v>
      </c>
    </row>
    <row r="367" spans="1:17">
      <c r="A367" t="s">
        <v>295</v>
      </c>
      <c r="B367" t="s">
        <v>974</v>
      </c>
      <c r="C367" t="str">
        <f>VLOOKUP(A367,Districts!A:I,9,FALSE)</f>
        <v>Legacy Traditional School - Maricopa</v>
      </c>
      <c r="D367" t="str">
        <f>VLOOKUP(A367,Districts!A:P,16,FALSE)</f>
        <v>DJCLRS8GH5F8</v>
      </c>
      <c r="E367" t="s">
        <v>528</v>
      </c>
      <c r="F367" s="1">
        <v>45200</v>
      </c>
      <c r="G367" t="s">
        <v>529</v>
      </c>
      <c r="H367" t="s">
        <v>530</v>
      </c>
      <c r="I367" s="59">
        <f>VLOOKUP(A367,'611'!D:F,3,FALSE)</f>
        <v>187829.09</v>
      </c>
      <c r="J367" s="59">
        <f>VLOOKUP(A367,'611'!D:Q,14,FALSE)</f>
        <v>189790.33</v>
      </c>
      <c r="K367" s="59">
        <f>VLOOKUP(A367,'611'!D:Q,14,FALSE)</f>
        <v>189790.33</v>
      </c>
      <c r="O367" t="s">
        <v>531</v>
      </c>
      <c r="P367">
        <f>_xlfn.IFNA(VLOOKUP(A367,IndirectCost!B:L,11,FALSE),"")</f>
        <v>8</v>
      </c>
      <c r="Q367">
        <f t="shared" si="5"/>
        <v>0.08</v>
      </c>
    </row>
    <row r="368" spans="1:17">
      <c r="A368" t="s">
        <v>296</v>
      </c>
      <c r="B368" t="s">
        <v>975</v>
      </c>
      <c r="C368" t="str">
        <f>VLOOKUP(A368,Districts!A:I,9,FALSE)</f>
        <v>Legacy Traditional School - Mesa</v>
      </c>
      <c r="D368" t="str">
        <f>VLOOKUP(A368,Districts!A:P,16,FALSE)</f>
        <v>KVKTBKN83KN5</v>
      </c>
      <c r="E368" t="s">
        <v>528</v>
      </c>
      <c r="F368" s="1">
        <v>45200</v>
      </c>
      <c r="G368" t="s">
        <v>529</v>
      </c>
      <c r="H368" t="s">
        <v>530</v>
      </c>
      <c r="I368" s="59">
        <f>VLOOKUP(A368,'611'!D:F,3,FALSE)</f>
        <v>78340.47</v>
      </c>
      <c r="J368" s="59">
        <f>VLOOKUP(A368,'611'!D:Q,14,FALSE)</f>
        <v>78340.47</v>
      </c>
      <c r="K368" s="59">
        <f>VLOOKUP(A368,'611'!D:Q,14,FALSE)</f>
        <v>78340.47</v>
      </c>
      <c r="O368" t="s">
        <v>531</v>
      </c>
      <c r="P368">
        <f>_xlfn.IFNA(VLOOKUP(A368,IndirectCost!B:L,11,FALSE),"")</f>
        <v>0</v>
      </c>
      <c r="Q368">
        <f t="shared" si="5"/>
        <v>0</v>
      </c>
    </row>
    <row r="369" spans="1:17">
      <c r="A369" t="s">
        <v>297</v>
      </c>
      <c r="B369" t="s">
        <v>976</v>
      </c>
      <c r="C369" t="str">
        <f>VLOOKUP(A369,Districts!A:I,9,FALSE)</f>
        <v>Legacy Traditional School - North Chandler</v>
      </c>
      <c r="D369" t="str">
        <f>VLOOKUP(A369,Districts!A:P,16,FALSE)</f>
        <v>FJGMFN1DLEC4</v>
      </c>
      <c r="E369" t="s">
        <v>528</v>
      </c>
      <c r="F369" s="1">
        <v>45200</v>
      </c>
      <c r="G369" t="s">
        <v>529</v>
      </c>
      <c r="H369" t="s">
        <v>530</v>
      </c>
      <c r="I369" s="59">
        <f>VLOOKUP(A369,'611'!D:F,3,FALSE)</f>
        <v>141783.16</v>
      </c>
      <c r="J369" s="59">
        <f>VLOOKUP(A369,'611'!D:Q,14,FALSE)</f>
        <v>158853.37</v>
      </c>
      <c r="K369" s="59">
        <f>VLOOKUP(A369,'611'!D:Q,14,FALSE)</f>
        <v>158853.37</v>
      </c>
      <c r="O369" t="s">
        <v>531</v>
      </c>
      <c r="P369">
        <f>_xlfn.IFNA(VLOOKUP(A369,IndirectCost!B:L,11,FALSE),"")</f>
        <v>8</v>
      </c>
      <c r="Q369">
        <f t="shared" si="5"/>
        <v>0.08</v>
      </c>
    </row>
    <row r="370" spans="1:17">
      <c r="A370" t="s">
        <v>977</v>
      </c>
      <c r="B370" t="s">
        <v>978</v>
      </c>
      <c r="C370" t="str">
        <f>VLOOKUP(A370,Districts!A:I,9,FALSE)</f>
        <v>Legacy Traditional School - North Phoenix</v>
      </c>
      <c r="D370" t="str">
        <f>VLOOKUP(A370,Districts!A:P,16,FALSE)</f>
        <v>DK37L6E75E73</v>
      </c>
      <c r="E370" t="s">
        <v>528</v>
      </c>
      <c r="F370" s="1">
        <v>45200</v>
      </c>
      <c r="G370" t="s">
        <v>529</v>
      </c>
      <c r="H370" t="s">
        <v>530</v>
      </c>
      <c r="I370" s="59">
        <f>VLOOKUP(A370,'611'!D:F,3,FALSE)</f>
        <v>92540.63</v>
      </c>
      <c r="J370" s="59">
        <f>VLOOKUP(A370,'611'!D:Q,14,FALSE)</f>
        <v>108488.77</v>
      </c>
      <c r="K370" s="59">
        <f>VLOOKUP(A370,'611'!D:Q,14,FALSE)</f>
        <v>108488.77</v>
      </c>
      <c r="O370" t="s">
        <v>531</v>
      </c>
      <c r="P370">
        <f>_xlfn.IFNA(VLOOKUP(A370,IndirectCost!B:L,11,FALSE),"")</f>
        <v>0</v>
      </c>
      <c r="Q370">
        <f t="shared" si="5"/>
        <v>0</v>
      </c>
    </row>
    <row r="371" spans="1:17">
      <c r="A371" t="s">
        <v>298</v>
      </c>
      <c r="B371" t="s">
        <v>979</v>
      </c>
      <c r="C371" t="str">
        <f>VLOOKUP(A371,Districts!A:I,9,FALSE)</f>
        <v>Legacy Traditional NW Tucson</v>
      </c>
      <c r="D371" t="str">
        <f>VLOOKUP(A371,Districts!A:P,16,FALSE)</f>
        <v>GQL5CMK7KZ13</v>
      </c>
      <c r="E371" t="s">
        <v>528</v>
      </c>
      <c r="F371" s="1">
        <v>45200</v>
      </c>
      <c r="G371" t="s">
        <v>529</v>
      </c>
      <c r="H371" t="s">
        <v>530</v>
      </c>
      <c r="I371" s="59">
        <f>VLOOKUP(A371,'611'!D:F,3,FALSE)</f>
        <v>198860.38</v>
      </c>
      <c r="J371" s="59">
        <f>VLOOKUP(A371,'611'!D:Q,14,FALSE)</f>
        <v>226076.52</v>
      </c>
      <c r="K371" s="59">
        <f>VLOOKUP(A371,'611'!D:Q,14,FALSE)</f>
        <v>226076.52</v>
      </c>
      <c r="O371" t="s">
        <v>531</v>
      </c>
      <c r="P371">
        <f>_xlfn.IFNA(VLOOKUP(A371,IndirectCost!B:L,11,FALSE),"")</f>
        <v>8</v>
      </c>
      <c r="Q371">
        <f t="shared" si="5"/>
        <v>0.08</v>
      </c>
    </row>
    <row r="372" spans="1:17">
      <c r="A372" t="s">
        <v>299</v>
      </c>
      <c r="B372" t="s">
        <v>980</v>
      </c>
      <c r="C372" t="str">
        <f>VLOOKUP(A372,Districts!A:I,9,FALSE)</f>
        <v>Legacy Traditional School - Peoria</v>
      </c>
      <c r="D372" t="str">
        <f>VLOOKUP(A372,Districts!A:P,16,FALSE)</f>
        <v>NN9UKVDMLK45</v>
      </c>
      <c r="E372" t="s">
        <v>528</v>
      </c>
      <c r="F372" s="1">
        <v>45200</v>
      </c>
      <c r="G372" t="s">
        <v>529</v>
      </c>
      <c r="H372" t="s">
        <v>530</v>
      </c>
      <c r="I372" s="59">
        <f>VLOOKUP(A372,'611'!D:F,3,FALSE)</f>
        <v>100425.45</v>
      </c>
      <c r="J372" s="59">
        <f>VLOOKUP(A372,'611'!D:Q,14,FALSE)</f>
        <v>142919.79999999999</v>
      </c>
      <c r="K372" s="59">
        <f>VLOOKUP(A372,'611'!D:Q,14,FALSE)</f>
        <v>142919.79999999999</v>
      </c>
      <c r="O372" t="s">
        <v>531</v>
      </c>
      <c r="P372">
        <f>_xlfn.IFNA(VLOOKUP(A372,IndirectCost!B:L,11,FALSE),"")</f>
        <v>8</v>
      </c>
      <c r="Q372">
        <f t="shared" si="5"/>
        <v>0.08</v>
      </c>
    </row>
    <row r="373" spans="1:17">
      <c r="A373" t="s">
        <v>300</v>
      </c>
      <c r="B373" t="s">
        <v>981</v>
      </c>
      <c r="C373" t="str">
        <f>VLOOKUP(A373,Districts!A:I,9,FALSE)</f>
        <v>LTS- Phoenix</v>
      </c>
      <c r="D373" t="str">
        <f>VLOOKUP(A373,Districts!A:P,16,FALSE)</f>
        <v>VL4EUKV84AN7</v>
      </c>
      <c r="E373" t="s">
        <v>528</v>
      </c>
      <c r="F373" s="1">
        <v>45200</v>
      </c>
      <c r="G373" t="s">
        <v>529</v>
      </c>
      <c r="H373" t="s">
        <v>530</v>
      </c>
      <c r="I373" s="59">
        <f>VLOOKUP(A373,'611'!D:F,3,FALSE)</f>
        <v>218723.08</v>
      </c>
      <c r="J373" s="59">
        <f>VLOOKUP(A373,'611'!D:Q,14,FALSE)</f>
        <v>378667.39</v>
      </c>
      <c r="K373" s="59">
        <f>VLOOKUP(A373,'611'!D:Q,14,FALSE)</f>
        <v>378667.39</v>
      </c>
      <c r="O373" t="s">
        <v>531</v>
      </c>
      <c r="P373">
        <f>_xlfn.IFNA(VLOOKUP(A373,IndirectCost!B:L,11,FALSE),"")</f>
        <v>8</v>
      </c>
      <c r="Q373">
        <f t="shared" si="5"/>
        <v>0.08</v>
      </c>
    </row>
    <row r="374" spans="1:17">
      <c r="A374" t="s">
        <v>301</v>
      </c>
      <c r="B374" t="s">
        <v>982</v>
      </c>
      <c r="C374" t="str">
        <f>VLOOKUP(A374,Districts!A:I,9,FALSE)</f>
        <v>Legacy Traditional School - Queen Creek</v>
      </c>
      <c r="D374" t="str">
        <f>VLOOKUP(A374,Districts!A:P,16,FALSE)</f>
        <v>U198V74CN1E3</v>
      </c>
      <c r="E374" t="s">
        <v>528</v>
      </c>
      <c r="F374" s="1">
        <v>45200</v>
      </c>
      <c r="G374" t="s">
        <v>529</v>
      </c>
      <c r="H374" t="s">
        <v>530</v>
      </c>
      <c r="I374" s="59">
        <f>VLOOKUP(A374,'611'!D:F,3,FALSE)</f>
        <v>157685.57999999999</v>
      </c>
      <c r="J374" s="59">
        <f>VLOOKUP(A374,'611'!D:Q,14,FALSE)</f>
        <v>163793.57999999999</v>
      </c>
      <c r="K374" s="59">
        <f>VLOOKUP(A374,'611'!D:Q,14,FALSE)</f>
        <v>163793.57999999999</v>
      </c>
      <c r="O374" t="s">
        <v>531</v>
      </c>
      <c r="P374">
        <f>_xlfn.IFNA(VLOOKUP(A374,IndirectCost!B:L,11,FALSE),"")</f>
        <v>8</v>
      </c>
      <c r="Q374">
        <f t="shared" si="5"/>
        <v>0.08</v>
      </c>
    </row>
    <row r="375" spans="1:17">
      <c r="A375" t="s">
        <v>302</v>
      </c>
      <c r="B375" t="s">
        <v>983</v>
      </c>
      <c r="C375" t="str">
        <f>VLOOKUP(A375,Districts!A:I,9,FALSE)</f>
        <v>Legacy Traditional School - Surprise</v>
      </c>
      <c r="D375" t="str">
        <f>VLOOKUP(A375,Districts!A:P,16,FALSE)</f>
        <v>GRZNUZZQ5W26</v>
      </c>
      <c r="E375" t="s">
        <v>528</v>
      </c>
      <c r="F375" s="1">
        <v>45200</v>
      </c>
      <c r="G375" t="s">
        <v>529</v>
      </c>
      <c r="H375" t="s">
        <v>530</v>
      </c>
      <c r="I375" s="59">
        <f>VLOOKUP(A375,'611'!D:F,3,FALSE)</f>
        <v>323147.51</v>
      </c>
      <c r="J375" s="59">
        <f>VLOOKUP(A375,'611'!D:Q,14,FALSE)</f>
        <v>516738.46</v>
      </c>
      <c r="K375" s="59">
        <f>VLOOKUP(A375,'611'!D:Q,14,FALSE)</f>
        <v>516738.46</v>
      </c>
      <c r="O375" t="s">
        <v>531</v>
      </c>
      <c r="P375">
        <f>_xlfn.IFNA(VLOOKUP(A375,IndirectCost!B:L,11,FALSE),"")</f>
        <v>8</v>
      </c>
      <c r="Q375">
        <f t="shared" si="5"/>
        <v>0.08</v>
      </c>
    </row>
    <row r="376" spans="1:17">
      <c r="A376" t="s">
        <v>303</v>
      </c>
      <c r="B376" t="s">
        <v>984</v>
      </c>
      <c r="C376" t="str">
        <f>VLOOKUP(A376,Districts!A:I,9,FALSE)</f>
        <v>Legacy Traditional School - West Surprise</v>
      </c>
      <c r="D376" t="str">
        <f>VLOOKUP(A376,Districts!A:P,16,FALSE)</f>
        <v>WLGBMMFQTEA8</v>
      </c>
      <c r="E376" t="s">
        <v>528</v>
      </c>
      <c r="F376" s="1">
        <v>45200</v>
      </c>
      <c r="G376" t="s">
        <v>529</v>
      </c>
      <c r="H376" t="s">
        <v>530</v>
      </c>
      <c r="I376" s="59">
        <f>VLOOKUP(A376,'611'!D:F,3,FALSE)</f>
        <v>169191.81</v>
      </c>
      <c r="J376" s="59">
        <f>VLOOKUP(A376,'611'!D:Q,14,FALSE)</f>
        <v>169191.81</v>
      </c>
      <c r="K376" s="59">
        <f>VLOOKUP(A376,'611'!D:Q,14,FALSE)</f>
        <v>169191.81</v>
      </c>
      <c r="O376" t="s">
        <v>531</v>
      </c>
      <c r="P376">
        <f>_xlfn.IFNA(VLOOKUP(A376,IndirectCost!B:L,11,FALSE),"")</f>
        <v>0</v>
      </c>
      <c r="Q376">
        <f t="shared" si="5"/>
        <v>0</v>
      </c>
    </row>
    <row r="377" spans="1:17">
      <c r="A377" t="s">
        <v>304</v>
      </c>
      <c r="B377" t="s">
        <v>985</v>
      </c>
      <c r="C377" t="str">
        <f>VLOOKUP(A377,Districts!A:I,9,FALSE)</f>
        <v>Legacy Traditional School - San Tan</v>
      </c>
      <c r="D377" t="str">
        <f>VLOOKUP(A377,Districts!A:P,16,FALSE)</f>
        <v>JMSZPNY9JEF4</v>
      </c>
      <c r="E377" t="s">
        <v>528</v>
      </c>
      <c r="F377" s="1">
        <v>45200</v>
      </c>
      <c r="G377" t="s">
        <v>529</v>
      </c>
      <c r="H377" t="s">
        <v>530</v>
      </c>
      <c r="I377" s="59">
        <f>VLOOKUP(A377,'611'!D:F,3,FALSE)</f>
        <v>86560.3</v>
      </c>
      <c r="J377" s="59">
        <f>VLOOKUP(A377,'611'!D:Q,14,FALSE)</f>
        <v>86560.3</v>
      </c>
      <c r="K377" s="59">
        <f>VLOOKUP(A377,'611'!D:Q,14,FALSE)</f>
        <v>86560.3</v>
      </c>
      <c r="O377" t="s">
        <v>531</v>
      </c>
      <c r="P377" t="str">
        <f>_xlfn.IFNA(VLOOKUP(A377,IndirectCost!B:L,11,FALSE),"")</f>
        <v/>
      </c>
      <c r="Q377">
        <f t="shared" si="5"/>
        <v>0</v>
      </c>
    </row>
    <row r="378" spans="1:17">
      <c r="A378" t="s">
        <v>305</v>
      </c>
      <c r="B378" t="s">
        <v>986</v>
      </c>
      <c r="C378" t="str">
        <f>VLOOKUP(A378,Districts!A:I,9,FALSE)</f>
        <v>Leman Academy of Excellence</v>
      </c>
      <c r="D378" t="str">
        <f>VLOOKUP(A378,Districts!A:P,16,FALSE)</f>
        <v>QPP7RWMLP6Z2</v>
      </c>
      <c r="E378" t="s">
        <v>528</v>
      </c>
      <c r="F378" s="1">
        <v>45200</v>
      </c>
      <c r="G378" t="s">
        <v>529</v>
      </c>
      <c r="H378" t="s">
        <v>530</v>
      </c>
      <c r="I378" s="59">
        <f>VLOOKUP(A378,'611'!D:F,3,FALSE)</f>
        <v>803566.84</v>
      </c>
      <c r="J378" s="59">
        <f>VLOOKUP(A378,'611'!D:Q,14,FALSE)</f>
        <v>839746.54</v>
      </c>
      <c r="K378" s="59">
        <f>VLOOKUP(A378,'611'!D:Q,14,FALSE)</f>
        <v>839746.54</v>
      </c>
      <c r="O378" t="s">
        <v>531</v>
      </c>
      <c r="P378" t="str">
        <f>_xlfn.IFNA(VLOOKUP(A378,IndirectCost!B:L,11,FALSE),"")</f>
        <v/>
      </c>
      <c r="Q378">
        <f t="shared" si="5"/>
        <v>0</v>
      </c>
    </row>
    <row r="379" spans="1:17">
      <c r="A379" t="s">
        <v>306</v>
      </c>
      <c r="B379" t="s">
        <v>987</v>
      </c>
      <c r="C379" t="str">
        <f>VLOOKUP(A379,Districts!A:I,9,FALSE)</f>
        <v>Liberty Elementary School District 25</v>
      </c>
      <c r="D379" t="str">
        <f>VLOOKUP(A379,Districts!A:P,16,FALSE)</f>
        <v>ZZMXFA5VNW55</v>
      </c>
      <c r="E379" t="s">
        <v>528</v>
      </c>
      <c r="F379" s="1">
        <v>45200</v>
      </c>
      <c r="G379" t="s">
        <v>529</v>
      </c>
      <c r="H379" t="s">
        <v>530</v>
      </c>
      <c r="I379" s="59">
        <f>VLOOKUP(A379,'611'!D:F,3,FALSE)</f>
        <v>800000.12</v>
      </c>
      <c r="J379" s="59">
        <f>VLOOKUP(A379,'611'!D:Q,14,FALSE)</f>
        <v>885349.67</v>
      </c>
      <c r="K379" s="59">
        <f>VLOOKUP(A379,'611'!D:Q,14,FALSE)</f>
        <v>885349.67</v>
      </c>
      <c r="O379" t="s">
        <v>531</v>
      </c>
      <c r="P379">
        <f>_xlfn.IFNA(VLOOKUP(A379,IndirectCost!B:L,11,FALSE),"")</f>
        <v>5.54</v>
      </c>
      <c r="Q379">
        <f t="shared" si="5"/>
        <v>5.5399999999999998E-2</v>
      </c>
    </row>
    <row r="380" spans="1:17">
      <c r="A380" t="s">
        <v>988</v>
      </c>
      <c r="B380" t="s">
        <v>989</v>
      </c>
      <c r="C380" t="str">
        <f>VLOOKUP(A380,Districts!A:I,9,FALSE)</f>
        <v>Gila Co Office of Education, dba Liberty High School</v>
      </c>
      <c r="D380" t="str">
        <f>VLOOKUP(A380,Districts!A:P,16,FALSE)</f>
        <v>K7S9NR3FE3L9</v>
      </c>
      <c r="E380" t="s">
        <v>528</v>
      </c>
      <c r="F380" s="1">
        <v>45200</v>
      </c>
      <c r="G380" t="s">
        <v>529</v>
      </c>
      <c r="H380" t="s">
        <v>530</v>
      </c>
      <c r="I380" s="59">
        <f>VLOOKUP(A380,'611'!D:F,3,FALSE)</f>
        <v>12857.85</v>
      </c>
      <c r="J380" s="59">
        <f>VLOOKUP(A380,'611'!D:Q,14,FALSE)</f>
        <v>14267.85</v>
      </c>
      <c r="K380" s="59">
        <f>VLOOKUP(A380,'611'!D:Q,14,FALSE)</f>
        <v>14267.85</v>
      </c>
      <c r="O380" t="s">
        <v>531</v>
      </c>
      <c r="P380" t="str">
        <f>_xlfn.IFNA(VLOOKUP(A380,IndirectCost!B:L,11,FALSE),"")</f>
        <v/>
      </c>
      <c r="Q380">
        <f t="shared" si="5"/>
        <v>0</v>
      </c>
    </row>
    <row r="381" spans="1:17">
      <c r="A381" t="s">
        <v>307</v>
      </c>
      <c r="B381" t="s">
        <v>990</v>
      </c>
      <c r="C381" t="str">
        <f>VLOOKUP(A381,Districts!A:I,9,FALSE)</f>
        <v>Liberty Leadership Academy</v>
      </c>
      <c r="D381" t="str">
        <f>VLOOKUP(A381,Districts!A:P,16,FALSE)</f>
        <v>UKFPC36LDYQ3</v>
      </c>
      <c r="E381" t="s">
        <v>528</v>
      </c>
      <c r="F381" s="1">
        <v>45200</v>
      </c>
      <c r="G381" t="s">
        <v>529</v>
      </c>
      <c r="H381" t="s">
        <v>530</v>
      </c>
      <c r="I381" s="59">
        <f>VLOOKUP(A381,'611'!D:F,3,FALSE)</f>
        <v>8899.07</v>
      </c>
      <c r="J381" s="59">
        <f>VLOOKUP(A381,'611'!D:Q,14,FALSE)</f>
        <v>8899.07</v>
      </c>
      <c r="K381" s="59">
        <f>VLOOKUP(A381,'611'!D:Q,14,FALSE)</f>
        <v>8899.07</v>
      </c>
      <c r="O381" t="s">
        <v>531</v>
      </c>
      <c r="P381" t="str">
        <f>_xlfn.IFNA(VLOOKUP(A381,IndirectCost!B:L,11,FALSE),"")</f>
        <v/>
      </c>
      <c r="Q381">
        <f t="shared" si="5"/>
        <v>0</v>
      </c>
    </row>
    <row r="382" spans="1:17">
      <c r="A382" t="s">
        <v>308</v>
      </c>
      <c r="B382" t="s">
        <v>991</v>
      </c>
      <c r="C382" t="str">
        <f>VLOOKUP(A382,Districts!A:I,9,FALSE)</f>
        <v>LIBERTY TRADITIONAL CHARTER SCHOOL</v>
      </c>
      <c r="D382" t="str">
        <f>VLOOKUP(A382,Districts!A:P,16,FALSE)</f>
        <v>YTSMFKSH8UD3</v>
      </c>
      <c r="E382" t="s">
        <v>528</v>
      </c>
      <c r="F382" s="1">
        <v>45200</v>
      </c>
      <c r="G382" t="s">
        <v>529</v>
      </c>
      <c r="H382" t="s">
        <v>530</v>
      </c>
      <c r="I382" s="59">
        <f>VLOOKUP(A382,'611'!D:F,3,FALSE)</f>
        <v>103541.57</v>
      </c>
      <c r="J382" s="59">
        <f>VLOOKUP(A382,'611'!D:Q,14,FALSE)</f>
        <v>103764.71</v>
      </c>
      <c r="K382" s="59">
        <f>VLOOKUP(A382,'611'!D:Q,14,FALSE)</f>
        <v>103764.71</v>
      </c>
      <c r="O382" t="s">
        <v>531</v>
      </c>
      <c r="P382" t="str">
        <f>_xlfn.IFNA(VLOOKUP(A382,IndirectCost!B:L,11,FALSE),"")</f>
        <v/>
      </c>
      <c r="Q382">
        <f t="shared" si="5"/>
        <v>0</v>
      </c>
    </row>
    <row r="383" spans="1:17">
      <c r="A383" t="s">
        <v>992</v>
      </c>
      <c r="B383" t="s">
        <v>993</v>
      </c>
      <c r="C383" t="str">
        <f>VLOOKUP(A383,Districts!A:I,9,FALSE)</f>
        <v>Lincoln Preparatory Academy</v>
      </c>
      <c r="D383" t="str">
        <f>VLOOKUP(A383,Districts!A:P,16,FALSE)</f>
        <v>DHE9LJP3AFA5</v>
      </c>
      <c r="E383" t="s">
        <v>528</v>
      </c>
      <c r="F383" s="1">
        <v>45200</v>
      </c>
      <c r="G383" t="s">
        <v>529</v>
      </c>
      <c r="H383" t="s">
        <v>530</v>
      </c>
      <c r="I383" s="59">
        <f>VLOOKUP(A383,'611'!D:F,3,FALSE)</f>
        <v>74818.460000000006</v>
      </c>
      <c r="J383" s="59">
        <f>VLOOKUP(A383,'611'!D:Q,14,FALSE)</f>
        <v>75295.97</v>
      </c>
      <c r="K383" s="59">
        <f>VLOOKUP(A383,'611'!D:Q,14,FALSE)</f>
        <v>75295.97</v>
      </c>
      <c r="O383" t="s">
        <v>531</v>
      </c>
      <c r="P383">
        <f>_xlfn.IFNA(VLOOKUP(A383,IndirectCost!B:L,11,FALSE),"")</f>
        <v>8</v>
      </c>
      <c r="Q383">
        <f t="shared" si="5"/>
        <v>0.08</v>
      </c>
    </row>
    <row r="384" spans="1:17">
      <c r="A384" t="s">
        <v>309</v>
      </c>
      <c r="B384" t="s">
        <v>994</v>
      </c>
      <c r="C384" t="str">
        <f>VLOOKUP(A384,Districts!A:I,9,FALSE)</f>
        <v>Litchfield Elementary School District #79</v>
      </c>
      <c r="D384" t="str">
        <f>VLOOKUP(A384,Districts!A:P,16,FALSE)</f>
        <v>ZNVSNVF551X6</v>
      </c>
      <c r="E384" t="s">
        <v>528</v>
      </c>
      <c r="F384" s="1">
        <v>45200</v>
      </c>
      <c r="G384" t="s">
        <v>529</v>
      </c>
      <c r="H384" t="s">
        <v>530</v>
      </c>
      <c r="I384" s="59">
        <f>VLOOKUP(A384,'611'!D:F,3,FALSE)</f>
        <v>1894869.93</v>
      </c>
      <c r="J384" s="59">
        <f>VLOOKUP(A384,'611'!D:Q,14,FALSE)</f>
        <v>2317434.4700000002</v>
      </c>
      <c r="K384" s="59">
        <f>VLOOKUP(A384,'611'!D:Q,14,FALSE)</f>
        <v>2317434.4700000002</v>
      </c>
      <c r="O384" t="s">
        <v>531</v>
      </c>
      <c r="P384">
        <f>_xlfn.IFNA(VLOOKUP(A384,IndirectCost!B:L,11,FALSE),"")</f>
        <v>2.1800000000000002</v>
      </c>
      <c r="Q384">
        <f t="shared" si="5"/>
        <v>2.18E-2</v>
      </c>
    </row>
    <row r="385" spans="1:17">
      <c r="A385" t="s">
        <v>310</v>
      </c>
      <c r="B385" t="s">
        <v>995</v>
      </c>
      <c r="C385" t="str">
        <f>VLOOKUP(A385,Districts!A:I,9,FALSE)</f>
        <v>Little Lamb Community School</v>
      </c>
      <c r="D385" t="str">
        <f>VLOOKUP(A385,Districts!A:P,16,FALSE)</f>
        <v>PC6HGFYUMLK3</v>
      </c>
      <c r="E385" t="s">
        <v>528</v>
      </c>
      <c r="F385" s="1">
        <v>45200</v>
      </c>
      <c r="G385" t="s">
        <v>529</v>
      </c>
      <c r="H385" t="s">
        <v>530</v>
      </c>
      <c r="I385" s="59">
        <f>VLOOKUP(A385,'611'!D:F,3,FALSE)</f>
        <v>17650.599999999999</v>
      </c>
      <c r="J385" s="59">
        <f>VLOOKUP(A385,'611'!D:Q,14,FALSE)</f>
        <v>22502.76</v>
      </c>
      <c r="K385" s="59">
        <f>VLOOKUP(A385,'611'!D:Q,14,FALSE)</f>
        <v>22502.76</v>
      </c>
      <c r="O385" t="s">
        <v>531</v>
      </c>
      <c r="P385" t="str">
        <f>_xlfn.IFNA(VLOOKUP(A385,IndirectCost!B:L,11,FALSE),"")</f>
        <v/>
      </c>
      <c r="Q385">
        <f t="shared" si="5"/>
        <v>0</v>
      </c>
    </row>
    <row r="386" spans="1:17">
      <c r="A386" t="s">
        <v>311</v>
      </c>
      <c r="B386" t="s">
        <v>996</v>
      </c>
      <c r="C386" t="str">
        <f>VLOOKUP(A386,Districts!A:I,9,FALSE)</f>
        <v>Littlefield Unified School District #9</v>
      </c>
      <c r="D386" t="str">
        <f>VLOOKUP(A386,Districts!A:P,16,FALSE)</f>
        <v>NMJKVL9Z3AT8</v>
      </c>
      <c r="E386" t="s">
        <v>528</v>
      </c>
      <c r="F386" s="1">
        <v>45200</v>
      </c>
      <c r="G386" t="s">
        <v>529</v>
      </c>
      <c r="H386" t="s">
        <v>530</v>
      </c>
      <c r="I386" s="59">
        <f>VLOOKUP(A386,'611'!D:F,3,FALSE)</f>
        <v>80914.75</v>
      </c>
      <c r="J386" s="59">
        <f>VLOOKUP(A386,'611'!D:Q,14,FALSE)</f>
        <v>154586.12</v>
      </c>
      <c r="K386" s="59">
        <f>VLOOKUP(A386,'611'!D:Q,14,FALSE)</f>
        <v>154586.12</v>
      </c>
      <c r="O386" t="s">
        <v>531</v>
      </c>
      <c r="P386">
        <f>_xlfn.IFNA(VLOOKUP(A386,IndirectCost!B:L,11,FALSE),"")</f>
        <v>0</v>
      </c>
      <c r="Q386">
        <f t="shared" si="5"/>
        <v>0</v>
      </c>
    </row>
    <row r="387" spans="1:17">
      <c r="A387" t="s">
        <v>312</v>
      </c>
      <c r="B387" t="s">
        <v>997</v>
      </c>
      <c r="C387" t="str">
        <f>VLOOKUP(A387,Districts!A:I,9,FALSE)</f>
        <v>Littleton Elementary School District</v>
      </c>
      <c r="D387" t="str">
        <f>VLOOKUP(A387,Districts!A:P,16,FALSE)</f>
        <v>GBY9FHMAXP37</v>
      </c>
      <c r="E387" t="s">
        <v>528</v>
      </c>
      <c r="F387" s="1">
        <v>45200</v>
      </c>
      <c r="G387" t="s">
        <v>529</v>
      </c>
      <c r="H387" t="s">
        <v>530</v>
      </c>
      <c r="I387" s="59">
        <f>VLOOKUP(A387,'611'!D:F,3,FALSE)</f>
        <v>1053562.78</v>
      </c>
      <c r="J387" s="59">
        <f>VLOOKUP(A387,'611'!D:Q,14,FALSE)</f>
        <v>1570087.64</v>
      </c>
      <c r="K387" s="59">
        <f>VLOOKUP(A387,'611'!D:Q,14,FALSE)</f>
        <v>1570087.64</v>
      </c>
      <c r="O387" t="s">
        <v>531</v>
      </c>
      <c r="P387">
        <f>_xlfn.IFNA(VLOOKUP(A387,IndirectCost!B:L,11,FALSE),"")</f>
        <v>4.78</v>
      </c>
      <c r="Q387">
        <f t="shared" si="5"/>
        <v>4.7800000000000002E-2</v>
      </c>
    </row>
    <row r="388" spans="1:17">
      <c r="A388" t="s">
        <v>313</v>
      </c>
      <c r="B388" t="s">
        <v>998</v>
      </c>
      <c r="C388" t="str">
        <f>VLOOKUP(A388,Districts!A:I,9,FALSE)</f>
        <v>County of Maricopa Madison School District #38</v>
      </c>
      <c r="D388" t="str">
        <f>VLOOKUP(A388,Districts!A:P,16,FALSE)</f>
        <v>JWBVHHPJ22F1</v>
      </c>
      <c r="E388" t="s">
        <v>528</v>
      </c>
      <c r="F388" s="1">
        <v>45200</v>
      </c>
      <c r="G388" t="s">
        <v>529</v>
      </c>
      <c r="H388" t="s">
        <v>530</v>
      </c>
      <c r="I388" s="59">
        <f>VLOOKUP(A388,'611'!D:F,3,FALSE)</f>
        <v>1227028.32</v>
      </c>
      <c r="J388" s="59">
        <f>VLOOKUP(A388,'611'!D:Q,14,FALSE)</f>
        <v>1687316.7</v>
      </c>
      <c r="K388" s="59">
        <f>VLOOKUP(A388,'611'!D:Q,14,FALSE)</f>
        <v>1687316.7</v>
      </c>
      <c r="O388" t="s">
        <v>531</v>
      </c>
      <c r="P388">
        <f>_xlfn.IFNA(VLOOKUP(A388,IndirectCost!B:L,11,FALSE),"")</f>
        <v>6.63</v>
      </c>
      <c r="Q388">
        <f t="shared" ref="Q388:Q451" si="6">IFERROR(P388/100,0)</f>
        <v>6.6299999999999998E-2</v>
      </c>
    </row>
    <row r="389" spans="1:17">
      <c r="A389" t="s">
        <v>999</v>
      </c>
      <c r="B389" t="s">
        <v>1000</v>
      </c>
      <c r="C389" t="str">
        <f>VLOOKUP(A389,Districts!A:I,9,FALSE)</f>
        <v>Madison Highland Prep Phoenix</v>
      </c>
      <c r="D389" t="str">
        <f>VLOOKUP(A389,Districts!A:P,16,FALSE)</f>
        <v>P2AHCFMN4DD8</v>
      </c>
      <c r="E389" t="s">
        <v>528</v>
      </c>
      <c r="F389" s="1">
        <v>45200</v>
      </c>
      <c r="G389" t="s">
        <v>529</v>
      </c>
      <c r="H389" t="s">
        <v>530</v>
      </c>
      <c r="I389" s="59">
        <f>VLOOKUP(A389,'611'!D:F,3,FALSE)</f>
        <v>45873.8</v>
      </c>
      <c r="J389" s="59">
        <f>VLOOKUP(A389,'611'!D:Q,14,FALSE)</f>
        <v>52476.85</v>
      </c>
      <c r="K389" s="59">
        <f>VLOOKUP(A389,'611'!D:Q,14,FALSE)</f>
        <v>52476.85</v>
      </c>
      <c r="O389" t="s">
        <v>531</v>
      </c>
      <c r="P389" t="str">
        <f>_xlfn.IFNA(VLOOKUP(A389,IndirectCost!B:L,11,FALSE),"")</f>
        <v/>
      </c>
      <c r="Q389">
        <f t="shared" si="6"/>
        <v>0</v>
      </c>
    </row>
    <row r="390" spans="1:17">
      <c r="A390" t="s">
        <v>1001</v>
      </c>
      <c r="B390" t="s">
        <v>1002</v>
      </c>
      <c r="C390" t="str">
        <f>VLOOKUP(A390,Districts!A:I,9,FALSE)</f>
        <v>Madison Highland Prep</v>
      </c>
      <c r="D390" t="str">
        <f>VLOOKUP(A390,Districts!A:P,16,FALSE)</f>
        <v>P2AHCFMN4DD8</v>
      </c>
      <c r="E390" t="s">
        <v>528</v>
      </c>
      <c r="F390" s="1">
        <v>45200</v>
      </c>
      <c r="G390" t="s">
        <v>529</v>
      </c>
      <c r="H390" t="s">
        <v>530</v>
      </c>
      <c r="I390" s="59">
        <f>VLOOKUP(A390,'611'!D:F,3,FALSE)</f>
        <v>76768.460000000006</v>
      </c>
      <c r="J390" s="59">
        <f>VLOOKUP(A390,'611'!D:Q,14,FALSE)</f>
        <v>101328.69</v>
      </c>
      <c r="K390" s="59">
        <f>VLOOKUP(A390,'611'!D:Q,14,FALSE)</f>
        <v>101328.69</v>
      </c>
      <c r="O390" t="s">
        <v>531</v>
      </c>
      <c r="P390" t="str">
        <f>_xlfn.IFNA(VLOOKUP(A390,IndirectCost!B:L,11,FALSE),"")</f>
        <v/>
      </c>
      <c r="Q390">
        <f t="shared" si="6"/>
        <v>0</v>
      </c>
    </row>
    <row r="391" spans="1:17">
      <c r="A391" t="s">
        <v>314</v>
      </c>
      <c r="B391" t="s">
        <v>1003</v>
      </c>
      <c r="C391" t="str">
        <f>VLOOKUP(A391,Districts!A:I,9,FALSE)</f>
        <v>Maine Consolidated Elementary School District No. 10</v>
      </c>
      <c r="D391" t="str">
        <f>VLOOKUP(A391,Districts!A:P,16,FALSE)</f>
        <v>KN97KHBBW6K7</v>
      </c>
      <c r="E391" t="s">
        <v>528</v>
      </c>
      <c r="F391" s="1">
        <v>45200</v>
      </c>
      <c r="G391" t="s">
        <v>529</v>
      </c>
      <c r="H391" t="s">
        <v>530</v>
      </c>
      <c r="I391" s="59">
        <f>VLOOKUP(A391,'611'!D:F,3,FALSE)</f>
        <v>30000.61</v>
      </c>
      <c r="J391" s="59">
        <f>VLOOKUP(A391,'611'!D:Q,14,FALSE)</f>
        <v>30000.61</v>
      </c>
      <c r="K391" s="59">
        <f>VLOOKUP(A391,'611'!D:Q,14,FALSE)</f>
        <v>30000.61</v>
      </c>
      <c r="O391" t="s">
        <v>531</v>
      </c>
      <c r="P391" t="str">
        <f>_xlfn.IFNA(VLOOKUP(A391,IndirectCost!B:L,11,FALSE),"")</f>
        <v/>
      </c>
      <c r="Q391">
        <f t="shared" si="6"/>
        <v>0</v>
      </c>
    </row>
    <row r="392" spans="1:17">
      <c r="A392" t="s">
        <v>315</v>
      </c>
      <c r="B392" t="s">
        <v>1004</v>
      </c>
      <c r="C392" t="str">
        <f>VLOOKUP(A392,Districts!A:I,9,FALSE)</f>
        <v>Mammoth-San Manuel Unified School District #8</v>
      </c>
      <c r="D392" t="str">
        <f>VLOOKUP(A392,Districts!A:P,16,FALSE)</f>
        <v>ZMLGV21EM3M5</v>
      </c>
      <c r="E392" t="s">
        <v>528</v>
      </c>
      <c r="F392" s="1">
        <v>45200</v>
      </c>
      <c r="G392" t="s">
        <v>529</v>
      </c>
      <c r="H392" t="s">
        <v>530</v>
      </c>
      <c r="I392" s="59">
        <f>VLOOKUP(A392,'611'!D:F,3,FALSE)</f>
        <v>167933.61</v>
      </c>
      <c r="J392" s="59">
        <f>VLOOKUP(A392,'611'!D:Q,14,FALSE)</f>
        <v>191873.96</v>
      </c>
      <c r="K392" s="59">
        <f>VLOOKUP(A392,'611'!D:Q,14,FALSE)</f>
        <v>191873.96</v>
      </c>
      <c r="O392" t="s">
        <v>531</v>
      </c>
      <c r="P392">
        <f>_xlfn.IFNA(VLOOKUP(A392,IndirectCost!B:L,11,FALSE),"")</f>
        <v>8</v>
      </c>
      <c r="Q392">
        <f t="shared" si="6"/>
        <v>0.08</v>
      </c>
    </row>
    <row r="393" spans="1:17">
      <c r="A393" t="s">
        <v>316</v>
      </c>
      <c r="B393" t="s">
        <v>1005</v>
      </c>
      <c r="C393" t="str">
        <f>VLOOKUP(A393,Districts!A:I,9,FALSE)</f>
        <v>Marana Unified School District</v>
      </c>
      <c r="D393" t="str">
        <f>VLOOKUP(A393,Districts!A:P,16,FALSE)</f>
        <v>LN4HMDMP5AD5</v>
      </c>
      <c r="E393" t="s">
        <v>528</v>
      </c>
      <c r="F393" s="1">
        <v>45200</v>
      </c>
      <c r="G393" t="s">
        <v>529</v>
      </c>
      <c r="H393" t="s">
        <v>530</v>
      </c>
      <c r="I393" s="59">
        <f>VLOOKUP(A393,'611'!D:F,3,FALSE)</f>
        <v>2688567.35</v>
      </c>
      <c r="J393" s="59">
        <f>VLOOKUP(A393,'611'!D:Q,14,FALSE)</f>
        <v>2847594.23</v>
      </c>
      <c r="K393" s="59">
        <f>VLOOKUP(A393,'611'!D:Q,14,FALSE)</f>
        <v>2847594.23</v>
      </c>
      <c r="O393" t="s">
        <v>531</v>
      </c>
      <c r="P393">
        <f>_xlfn.IFNA(VLOOKUP(A393,IndirectCost!B:L,11,FALSE),"")</f>
        <v>0.53</v>
      </c>
      <c r="Q393">
        <f t="shared" si="6"/>
        <v>5.3E-3</v>
      </c>
    </row>
    <row r="394" spans="1:17">
      <c r="A394" t="s">
        <v>1006</v>
      </c>
      <c r="B394" t="s">
        <v>1007</v>
      </c>
      <c r="C394" t="str">
        <f>VLOOKUP(A394,Districts!A:I,9,FALSE)</f>
        <v>MARICOPA COUNTY COMMUNITY COLLEGE DISTRICT GATEWAY COMMUNITY COLLEGE</v>
      </c>
      <c r="D394" t="str">
        <f>VLOOKUP(A394,Districts!A:P,16,FALSE)</f>
        <v>SP3CV9MFLS69</v>
      </c>
      <c r="E394" t="s">
        <v>528</v>
      </c>
      <c r="F394" s="1">
        <v>45200</v>
      </c>
      <c r="G394" t="s">
        <v>529</v>
      </c>
      <c r="H394" t="s">
        <v>530</v>
      </c>
      <c r="I394" s="59">
        <f>VLOOKUP(A394,'611'!D:F,3,FALSE)</f>
        <v>58608.19</v>
      </c>
      <c r="J394" s="59">
        <f>VLOOKUP(A394,'611'!D:Q,14,FALSE)</f>
        <v>63350.13</v>
      </c>
      <c r="K394" s="59">
        <f>VLOOKUP(A394,'611'!D:Q,14,FALSE)</f>
        <v>63350.13</v>
      </c>
      <c r="O394" t="s">
        <v>531</v>
      </c>
      <c r="P394" t="str">
        <f>_xlfn.IFNA(VLOOKUP(A394,IndirectCost!B:L,11,FALSE),"")</f>
        <v/>
      </c>
      <c r="Q394">
        <f t="shared" si="6"/>
        <v>0</v>
      </c>
    </row>
    <row r="395" spans="1:17">
      <c r="A395" t="s">
        <v>1008</v>
      </c>
      <c r="B395" t="s">
        <v>1009</v>
      </c>
      <c r="C395" t="str">
        <f>VLOOKUP(A395,Districts!A:I,9,FALSE)</f>
        <v>Maricopa County Superintendent of Schools</v>
      </c>
      <c r="D395" t="str">
        <f>VLOOKUP(A395,Districts!A:P,16,FALSE)</f>
        <v>JLJNMJ6C9R76</v>
      </c>
      <c r="E395" t="s">
        <v>528</v>
      </c>
      <c r="F395" s="1">
        <v>45200</v>
      </c>
      <c r="G395" t="s">
        <v>529</v>
      </c>
      <c r="H395" t="s">
        <v>530</v>
      </c>
      <c r="I395" s="59">
        <f>VLOOKUP(A395,'611'!D:F,3,FALSE)</f>
        <v>26524.94</v>
      </c>
      <c r="J395" s="59">
        <f>VLOOKUP(A395,'611'!D:Q,14,FALSE)</f>
        <v>26524.94</v>
      </c>
      <c r="K395" s="59">
        <f>VLOOKUP(A395,'611'!D:Q,14,FALSE)</f>
        <v>26524.94</v>
      </c>
      <c r="O395" t="s">
        <v>531</v>
      </c>
      <c r="P395" t="str">
        <f>_xlfn.IFNA(VLOOKUP(A395,IndirectCost!B:L,11,FALSE),"")</f>
        <v/>
      </c>
      <c r="Q395">
        <f t="shared" si="6"/>
        <v>0</v>
      </c>
    </row>
    <row r="396" spans="1:17">
      <c r="A396" t="s">
        <v>1010</v>
      </c>
      <c r="B396" t="s">
        <v>1011</v>
      </c>
      <c r="C396" t="str">
        <f>VLOOKUP(A396,Districts!A:I,9,FALSE)</f>
        <v>Maricopa County Regional School District</v>
      </c>
      <c r="D396" t="str">
        <f>VLOOKUP(A396,Districts!A:P,16,FALSE)</f>
        <v>E3BZPX41GQU8</v>
      </c>
      <c r="E396" t="s">
        <v>528</v>
      </c>
      <c r="F396" s="1">
        <v>45200</v>
      </c>
      <c r="G396" t="s">
        <v>529</v>
      </c>
      <c r="H396" t="s">
        <v>530</v>
      </c>
      <c r="I396" s="59">
        <f>VLOOKUP(A396,'611'!D:F,3,FALSE)</f>
        <v>111210.67</v>
      </c>
      <c r="J396" s="59">
        <f>VLOOKUP(A396,'611'!D:Q,14,FALSE)</f>
        <v>206350.5</v>
      </c>
      <c r="K396" s="59">
        <f>VLOOKUP(A396,'611'!D:Q,14,FALSE)</f>
        <v>206350.5</v>
      </c>
      <c r="O396" t="s">
        <v>531</v>
      </c>
      <c r="P396">
        <f>_xlfn.IFNA(VLOOKUP(A396,IndirectCost!B:L,11,FALSE),"")</f>
        <v>0</v>
      </c>
      <c r="Q396">
        <f t="shared" si="6"/>
        <v>0</v>
      </c>
    </row>
    <row r="397" spans="1:17">
      <c r="A397" t="s">
        <v>1012</v>
      </c>
      <c r="B397" t="s">
        <v>1013</v>
      </c>
      <c r="C397" t="str">
        <f>VLOOKUP(A397,Districts!A:I,9,FALSE)</f>
        <v>Maricopa, County of</v>
      </c>
      <c r="D397" t="str">
        <f>VLOOKUP(A397,Districts!A:P,16,FALSE)</f>
        <v>JW5VMAWMCQR6</v>
      </c>
      <c r="E397" t="s">
        <v>528</v>
      </c>
      <c r="F397" s="1">
        <v>45200</v>
      </c>
      <c r="G397" t="s">
        <v>529</v>
      </c>
      <c r="H397" t="s">
        <v>530</v>
      </c>
      <c r="I397" s="59">
        <f>VLOOKUP(A397,'611'!D:F,3,FALSE)</f>
        <v>28286.46</v>
      </c>
      <c r="J397" s="59">
        <f>VLOOKUP(A397,'611'!D:Q,14,FALSE)</f>
        <v>28286.46</v>
      </c>
      <c r="K397" s="59">
        <f>VLOOKUP(A397,'611'!D:Q,14,FALSE)</f>
        <v>28286.46</v>
      </c>
      <c r="O397" t="s">
        <v>531</v>
      </c>
      <c r="P397" t="str">
        <f>_xlfn.IFNA(VLOOKUP(A397,IndirectCost!B:L,11,FALSE),"")</f>
        <v/>
      </c>
      <c r="Q397">
        <f t="shared" si="6"/>
        <v>0</v>
      </c>
    </row>
    <row r="398" spans="1:17">
      <c r="A398" t="s">
        <v>317</v>
      </c>
      <c r="B398" t="s">
        <v>1014</v>
      </c>
      <c r="C398" t="str">
        <f>VLOOKUP(A398,Districts!A:I,9,FALSE)</f>
        <v>Maricopa Unified School District 20</v>
      </c>
      <c r="D398" t="str">
        <f>VLOOKUP(A398,Districts!A:P,16,FALSE)</f>
        <v>VJ47JEEL6NZ6</v>
      </c>
      <c r="E398" t="s">
        <v>528</v>
      </c>
      <c r="F398" s="1">
        <v>45200</v>
      </c>
      <c r="G398" t="s">
        <v>529</v>
      </c>
      <c r="H398" t="s">
        <v>530</v>
      </c>
      <c r="I398" s="59">
        <f>VLOOKUP(A398,'611'!D:F,3,FALSE)</f>
        <v>1419477.56</v>
      </c>
      <c r="J398" s="59">
        <f>VLOOKUP(A398,'611'!D:Q,14,FALSE)</f>
        <v>2189388.54</v>
      </c>
      <c r="K398" s="59">
        <f>VLOOKUP(A398,'611'!D:Q,14,FALSE)</f>
        <v>2189388.54</v>
      </c>
      <c r="O398" t="s">
        <v>531</v>
      </c>
      <c r="P398">
        <f>_xlfn.IFNA(VLOOKUP(A398,IndirectCost!B:L,11,FALSE),"")</f>
        <v>8</v>
      </c>
      <c r="Q398">
        <f t="shared" si="6"/>
        <v>0.08</v>
      </c>
    </row>
    <row r="399" spans="1:17">
      <c r="A399" t="s">
        <v>318</v>
      </c>
      <c r="B399" t="s">
        <v>1015</v>
      </c>
      <c r="C399" t="str">
        <f>VLOOKUP(A399,Districts!A:I,9,FALSE)</f>
        <v>Mary C O'Brien Accommodation District</v>
      </c>
      <c r="D399" t="str">
        <f>VLOOKUP(A399,Districts!A:P,16,FALSE)</f>
        <v>Y4D7FR94UAT1</v>
      </c>
      <c r="E399" t="s">
        <v>528</v>
      </c>
      <c r="F399" s="1">
        <v>45200</v>
      </c>
      <c r="G399" t="s">
        <v>529</v>
      </c>
      <c r="H399" t="s">
        <v>530</v>
      </c>
      <c r="I399" s="59">
        <f>VLOOKUP(A399,'611'!D:F,3,FALSE)</f>
        <v>45950.64</v>
      </c>
      <c r="J399" s="59">
        <f>VLOOKUP(A399,'611'!D:Q,14,FALSE)</f>
        <v>45950.64</v>
      </c>
      <c r="K399" s="59">
        <f>VLOOKUP(A399,'611'!D:Q,14,FALSE)</f>
        <v>45950.64</v>
      </c>
      <c r="O399" t="s">
        <v>531</v>
      </c>
      <c r="P399">
        <f>_xlfn.IFNA(VLOOKUP(A399,IndirectCost!B:L,11,FALSE),"")</f>
        <v>8</v>
      </c>
      <c r="Q399">
        <f t="shared" si="6"/>
        <v>0.08</v>
      </c>
    </row>
    <row r="400" spans="1:17">
      <c r="A400" t="s">
        <v>1016</v>
      </c>
      <c r="B400" t="s">
        <v>1017</v>
      </c>
      <c r="C400" t="str">
        <f>VLOOKUP(A400,Districts!A:I,9,FALSE)</f>
        <v>Mary Ellen Halvorson Education Foundation</v>
      </c>
      <c r="D400" t="str">
        <f>VLOOKUP(A400,Districts!A:P,16,FALSE)</f>
        <v>NL9JTUNJL7U3</v>
      </c>
      <c r="E400" t="s">
        <v>528</v>
      </c>
      <c r="F400" s="1">
        <v>45200</v>
      </c>
      <c r="G400" t="s">
        <v>529</v>
      </c>
      <c r="H400" t="s">
        <v>530</v>
      </c>
      <c r="I400" s="59">
        <f>VLOOKUP(A400,'611'!D:F,3,FALSE)</f>
        <v>34066.17</v>
      </c>
      <c r="J400" s="59">
        <f>VLOOKUP(A400,'611'!D:Q,14,FALSE)</f>
        <v>36002.82</v>
      </c>
      <c r="K400" s="59">
        <f>VLOOKUP(A400,'611'!D:Q,14,FALSE)</f>
        <v>36002.82</v>
      </c>
      <c r="O400" t="s">
        <v>531</v>
      </c>
      <c r="P400" t="str">
        <f>_xlfn.IFNA(VLOOKUP(A400,IndirectCost!B:L,11,FALSE),"")</f>
        <v/>
      </c>
      <c r="Q400">
        <f t="shared" si="6"/>
        <v>0</v>
      </c>
    </row>
    <row r="401" spans="1:17">
      <c r="A401" t="s">
        <v>319</v>
      </c>
      <c r="B401" t="s">
        <v>1018</v>
      </c>
      <c r="C401" t="str">
        <f>VLOOKUP(A401,Districts!A:I,9,FALSE)</f>
        <v>Maryvale Preparatory Academy</v>
      </c>
      <c r="D401" t="str">
        <f>VLOOKUP(A401,Districts!A:P,16,FALSE)</f>
        <v>XB1YKSKZCUF5</v>
      </c>
      <c r="E401" t="s">
        <v>528</v>
      </c>
      <c r="F401" s="1">
        <v>45200</v>
      </c>
      <c r="G401" t="s">
        <v>529</v>
      </c>
      <c r="H401" t="s">
        <v>530</v>
      </c>
      <c r="I401" s="59">
        <f>VLOOKUP(A401,'611'!D:F,3,FALSE)</f>
        <v>167143.99</v>
      </c>
      <c r="J401" s="59">
        <f>VLOOKUP(A401,'611'!D:Q,14,FALSE)</f>
        <v>170039.14</v>
      </c>
      <c r="K401" s="59">
        <f>VLOOKUP(A401,'611'!D:Q,14,FALSE)</f>
        <v>170039.14</v>
      </c>
      <c r="O401" t="s">
        <v>531</v>
      </c>
      <c r="P401">
        <f>_xlfn.IFNA(VLOOKUP(A401,IndirectCost!B:L,11,FALSE),"")</f>
        <v>8</v>
      </c>
      <c r="Q401">
        <f t="shared" si="6"/>
        <v>0.08</v>
      </c>
    </row>
    <row r="402" spans="1:17">
      <c r="A402" t="s">
        <v>320</v>
      </c>
      <c r="B402" t="s">
        <v>1019</v>
      </c>
      <c r="C402" t="str">
        <f>VLOOKUP(A402,Districts!A:I,9,FALSE)</f>
        <v>Masada Charter School, Inc</v>
      </c>
      <c r="D402" t="str">
        <f>VLOOKUP(A402,Districts!A:P,16,FALSE)</f>
        <v>T3BLC2SAZ2L3</v>
      </c>
      <c r="E402" t="s">
        <v>528</v>
      </c>
      <c r="F402" s="1">
        <v>45200</v>
      </c>
      <c r="G402" t="s">
        <v>529</v>
      </c>
      <c r="H402" t="s">
        <v>530</v>
      </c>
      <c r="I402" s="59">
        <f>VLOOKUP(A402,'611'!D:F,3,FALSE)</f>
        <v>88434.17</v>
      </c>
      <c r="J402" s="59">
        <f>VLOOKUP(A402,'611'!D:Q,14,FALSE)</f>
        <v>88540.85</v>
      </c>
      <c r="K402" s="59">
        <f>VLOOKUP(A402,'611'!D:Q,14,FALSE)</f>
        <v>88540.85</v>
      </c>
      <c r="O402" t="s">
        <v>531</v>
      </c>
      <c r="P402" t="str">
        <f>_xlfn.IFNA(VLOOKUP(A402,IndirectCost!B:L,11,FALSE),"")</f>
        <v/>
      </c>
      <c r="Q402">
        <f t="shared" si="6"/>
        <v>0</v>
      </c>
    </row>
    <row r="403" spans="1:17">
      <c r="A403" t="s">
        <v>321</v>
      </c>
      <c r="B403" t="s">
        <v>1020</v>
      </c>
      <c r="C403" t="str">
        <f>VLOOKUP(A403,Districts!A:I,9,FALSE)</f>
        <v>Math and Science Success Academy, Inc.</v>
      </c>
      <c r="D403" t="str">
        <f>VLOOKUP(A403,Districts!A:P,16,FALSE)</f>
        <v>JN2KYWKPL9Q6</v>
      </c>
      <c r="E403" t="s">
        <v>528</v>
      </c>
      <c r="F403" s="1">
        <v>45200</v>
      </c>
      <c r="G403" t="s">
        <v>529</v>
      </c>
      <c r="H403" t="s">
        <v>530</v>
      </c>
      <c r="I403" s="59">
        <f>VLOOKUP(A403,'611'!D:F,3,FALSE)</f>
        <v>117011.61</v>
      </c>
      <c r="J403" s="59">
        <f>VLOOKUP(A403,'611'!D:Q,14,FALSE)</f>
        <v>117011.61</v>
      </c>
      <c r="K403" s="59">
        <f>VLOOKUP(A403,'611'!D:Q,14,FALSE)</f>
        <v>117011.61</v>
      </c>
      <c r="O403" t="s">
        <v>531</v>
      </c>
      <c r="P403" t="str">
        <f>_xlfn.IFNA(VLOOKUP(A403,IndirectCost!B:L,11,FALSE),"")</f>
        <v/>
      </c>
      <c r="Q403">
        <f t="shared" si="6"/>
        <v>0</v>
      </c>
    </row>
    <row r="404" spans="1:17">
      <c r="A404" t="s">
        <v>322</v>
      </c>
      <c r="B404" t="s">
        <v>1021</v>
      </c>
      <c r="C404" t="str">
        <f>VLOOKUP(A404,Districts!A:I,9,FALSE)</f>
        <v>Mayer Unified School District 43</v>
      </c>
      <c r="D404" t="str">
        <f>VLOOKUP(A404,Districts!A:P,16,FALSE)</f>
        <v>EMFWLT4V6YG5</v>
      </c>
      <c r="E404" t="s">
        <v>528</v>
      </c>
      <c r="F404" s="1">
        <v>45200</v>
      </c>
      <c r="G404" t="s">
        <v>529</v>
      </c>
      <c r="H404" t="s">
        <v>530</v>
      </c>
      <c r="I404" s="59">
        <f>VLOOKUP(A404,'611'!D:F,3,FALSE)</f>
        <v>146438.31</v>
      </c>
      <c r="J404" s="59">
        <f>VLOOKUP(A404,'611'!D:Q,14,FALSE)</f>
        <v>166306.53</v>
      </c>
      <c r="K404" s="59">
        <f>VLOOKUP(A404,'611'!D:Q,14,FALSE)</f>
        <v>166306.53</v>
      </c>
      <c r="O404" t="s">
        <v>531</v>
      </c>
      <c r="P404">
        <f>_xlfn.IFNA(VLOOKUP(A404,IndirectCost!B:L,11,FALSE),"")</f>
        <v>5.24</v>
      </c>
      <c r="Q404">
        <f t="shared" si="6"/>
        <v>5.2400000000000002E-2</v>
      </c>
    </row>
    <row r="405" spans="1:17">
      <c r="A405" t="s">
        <v>1022</v>
      </c>
      <c r="B405" t="s">
        <v>1023</v>
      </c>
      <c r="C405" t="str">
        <f>VLOOKUP(A405,Districts!A:I,9,FALSE)</f>
        <v>Maricopa County Community College District dba Phoenix College</v>
      </c>
      <c r="D405" t="str">
        <f>VLOOKUP(A405,Districts!A:P,16,FALSE)</f>
        <v>LM72QFMLZK81</v>
      </c>
      <c r="E405" t="s">
        <v>528</v>
      </c>
      <c r="F405" s="1">
        <v>45200</v>
      </c>
      <c r="G405" t="s">
        <v>529</v>
      </c>
      <c r="H405" t="s">
        <v>530</v>
      </c>
      <c r="I405" s="59">
        <f>VLOOKUP(A405,'611'!D:F,3,FALSE)</f>
        <v>39750.22</v>
      </c>
      <c r="J405" s="59">
        <f>VLOOKUP(A405,'611'!D:Q,14,FALSE)</f>
        <v>40529.67</v>
      </c>
      <c r="K405" s="59">
        <f>VLOOKUP(A405,'611'!D:Q,14,FALSE)</f>
        <v>40529.67</v>
      </c>
      <c r="O405" t="s">
        <v>531</v>
      </c>
      <c r="P405" t="str">
        <f>_xlfn.IFNA(VLOOKUP(A405,IndirectCost!B:L,11,FALSE),"")</f>
        <v/>
      </c>
      <c r="Q405">
        <f t="shared" si="6"/>
        <v>0</v>
      </c>
    </row>
    <row r="406" spans="1:17">
      <c r="A406" t="s">
        <v>323</v>
      </c>
      <c r="B406" t="s">
        <v>1024</v>
      </c>
      <c r="C406" t="str">
        <f>VLOOKUP(A406,Districts!A:I,9,FALSE)</f>
        <v>McNary Elementary School District</v>
      </c>
      <c r="D406" t="str">
        <f>VLOOKUP(A406,Districts!A:P,16,FALSE)</f>
        <v>QRLJSJRA5JN8</v>
      </c>
      <c r="E406" t="s">
        <v>528</v>
      </c>
      <c r="F406" s="1">
        <v>45200</v>
      </c>
      <c r="G406" t="s">
        <v>529</v>
      </c>
      <c r="H406" t="s">
        <v>530</v>
      </c>
      <c r="I406" s="59">
        <f>VLOOKUP(A406,'611'!D:F,3,FALSE)</f>
        <v>42906.61</v>
      </c>
      <c r="J406" s="59">
        <f>VLOOKUP(A406,'611'!D:Q,14,FALSE)</f>
        <v>85765.3</v>
      </c>
      <c r="K406" s="59">
        <f>VLOOKUP(A406,'611'!D:Q,14,FALSE)</f>
        <v>85765.3</v>
      </c>
      <c r="O406" t="s">
        <v>531</v>
      </c>
      <c r="P406">
        <f>_xlfn.IFNA(VLOOKUP(A406,IndirectCost!B:L,11,FALSE),"")</f>
        <v>1.94</v>
      </c>
      <c r="Q406">
        <f t="shared" si="6"/>
        <v>1.9400000000000001E-2</v>
      </c>
    </row>
    <row r="407" spans="1:17">
      <c r="A407" t="s">
        <v>324</v>
      </c>
      <c r="B407" t="s">
        <v>1025</v>
      </c>
      <c r="C407" t="str">
        <f>VLOOKUP(A407,Districts!A:I,9,FALSE)</f>
        <v>McNeal School District 55</v>
      </c>
      <c r="D407" t="str">
        <f>VLOOKUP(A407,Districts!A:P,16,FALSE)</f>
        <v>PJDLVFC3AN18</v>
      </c>
      <c r="E407" t="s">
        <v>528</v>
      </c>
      <c r="F407" s="1">
        <v>45200</v>
      </c>
      <c r="G407" t="s">
        <v>529</v>
      </c>
      <c r="H407" t="s">
        <v>530</v>
      </c>
      <c r="I407" s="59">
        <f>VLOOKUP(A407,'611'!D:F,3,FALSE)</f>
        <v>16080.6</v>
      </c>
      <c r="J407" s="59">
        <f>VLOOKUP(A407,'611'!D:Q,14,FALSE)</f>
        <v>16080.6</v>
      </c>
      <c r="K407" s="59">
        <f>VLOOKUP(A407,'611'!D:Q,14,FALSE)</f>
        <v>16080.6</v>
      </c>
      <c r="O407" t="s">
        <v>531</v>
      </c>
      <c r="P407">
        <f>_xlfn.IFNA(VLOOKUP(A407,IndirectCost!B:L,11,FALSE),"")</f>
        <v>0</v>
      </c>
      <c r="Q407">
        <f t="shared" si="6"/>
        <v>0</v>
      </c>
    </row>
    <row r="408" spans="1:17">
      <c r="A408" t="s">
        <v>325</v>
      </c>
      <c r="B408" t="s">
        <v>1026</v>
      </c>
      <c r="C408" t="str">
        <f>VLOOKUP(A408,Districts!A:I,9,FALSE)</f>
        <v>Mesa Unified School District 4 DBA Mesa Public Schools</v>
      </c>
      <c r="D408" t="str">
        <f>VLOOKUP(A408,Districts!A:P,16,FALSE)</f>
        <v>NSB2LFQHEQF5</v>
      </c>
      <c r="E408" t="s">
        <v>528</v>
      </c>
      <c r="F408" s="1">
        <v>45200</v>
      </c>
      <c r="G408" t="s">
        <v>529</v>
      </c>
      <c r="H408" t="s">
        <v>530</v>
      </c>
      <c r="I408" s="59">
        <f>VLOOKUP(A408,'611'!D:F,3,FALSE)</f>
        <v>12030239.210000001</v>
      </c>
      <c r="J408" s="59">
        <f>VLOOKUP(A408,'611'!D:Q,14,FALSE)</f>
        <v>20093130.73</v>
      </c>
      <c r="K408" s="59">
        <f>VLOOKUP(A408,'611'!D:Q,14,FALSE)</f>
        <v>20093130.73</v>
      </c>
      <c r="O408" t="s">
        <v>531</v>
      </c>
      <c r="P408">
        <f>_xlfn.IFNA(VLOOKUP(A408,IndirectCost!B:L,11,FALSE),"")</f>
        <v>3.59</v>
      </c>
      <c r="Q408">
        <f t="shared" si="6"/>
        <v>3.5900000000000001E-2</v>
      </c>
    </row>
    <row r="409" spans="1:17">
      <c r="A409" t="s">
        <v>1027</v>
      </c>
      <c r="B409" t="s">
        <v>1028</v>
      </c>
      <c r="C409" t="str">
        <f>VLOOKUP(A409,Districts!A:I,9,FALSE)</f>
        <v>Metropolitan Arts Institute</v>
      </c>
      <c r="D409" t="str">
        <f>VLOOKUP(A409,Districts!A:P,16,FALSE)</f>
        <v>VR1MCLW4KFK8</v>
      </c>
      <c r="E409" t="s">
        <v>528</v>
      </c>
      <c r="F409" s="1">
        <v>45200</v>
      </c>
      <c r="G409" t="s">
        <v>529</v>
      </c>
      <c r="H409" t="s">
        <v>530</v>
      </c>
      <c r="I409" s="59">
        <f>VLOOKUP(A409,'611'!D:F,3,FALSE)</f>
        <v>32096.99</v>
      </c>
      <c r="J409" s="59">
        <f>VLOOKUP(A409,'611'!D:Q,14,FALSE)</f>
        <v>32096.99</v>
      </c>
      <c r="K409" s="59">
        <f>VLOOKUP(A409,'611'!D:Q,14,FALSE)</f>
        <v>32096.99</v>
      </c>
      <c r="O409" t="s">
        <v>531</v>
      </c>
      <c r="P409" t="str">
        <f>_xlfn.IFNA(VLOOKUP(A409,IndirectCost!B:L,11,FALSE),"")</f>
        <v/>
      </c>
      <c r="Q409">
        <f t="shared" si="6"/>
        <v>0</v>
      </c>
    </row>
    <row r="410" spans="1:17">
      <c r="A410" t="s">
        <v>326</v>
      </c>
      <c r="B410" t="s">
        <v>1029</v>
      </c>
      <c r="C410" t="str">
        <f>VLOOKUP(A410,Districts!A:I,9,FALSE)</f>
        <v>Mexicayotl Academy of Excellence</v>
      </c>
      <c r="D410" t="str">
        <f>VLOOKUP(A410,Districts!A:P,16,FALSE)</f>
        <v>HNNZPK499534</v>
      </c>
      <c r="E410" t="s">
        <v>528</v>
      </c>
      <c r="F410" s="1">
        <v>45200</v>
      </c>
      <c r="G410" t="s">
        <v>529</v>
      </c>
      <c r="H410" t="s">
        <v>530</v>
      </c>
      <c r="I410" s="59">
        <f>VLOOKUP(A410,'611'!D:F,3,FALSE)</f>
        <v>35567.75</v>
      </c>
      <c r="J410" s="59">
        <f>VLOOKUP(A410,'611'!D:Q,14,FALSE)</f>
        <v>35567.75</v>
      </c>
      <c r="K410" s="59">
        <f>VLOOKUP(A410,'611'!D:Q,14,FALSE)</f>
        <v>35567.75</v>
      </c>
      <c r="O410" t="s">
        <v>531</v>
      </c>
      <c r="P410">
        <f>_xlfn.IFNA(VLOOKUP(A410,IndirectCost!B:L,11,FALSE),"")</f>
        <v>8</v>
      </c>
      <c r="Q410">
        <f t="shared" si="6"/>
        <v>0.08</v>
      </c>
    </row>
    <row r="411" spans="1:17">
      <c r="A411" t="s">
        <v>327</v>
      </c>
      <c r="B411" t="s">
        <v>1030</v>
      </c>
      <c r="C411" t="str">
        <f>VLOOKUP(A411,Districts!A:I,9,FALSE)</f>
        <v>Miami Area Unified School District 40</v>
      </c>
      <c r="D411" t="str">
        <f>VLOOKUP(A411,Districts!A:P,16,FALSE)</f>
        <v>L8BRLLASELN1</v>
      </c>
      <c r="E411" t="s">
        <v>528</v>
      </c>
      <c r="F411" s="1">
        <v>45200</v>
      </c>
      <c r="G411" t="s">
        <v>529</v>
      </c>
      <c r="H411" t="s">
        <v>530</v>
      </c>
      <c r="I411" s="59">
        <f>VLOOKUP(A411,'611'!D:F,3,FALSE)</f>
        <v>239864.27</v>
      </c>
      <c r="J411" s="59">
        <f>VLOOKUP(A411,'611'!D:Q,14,FALSE)</f>
        <v>308509.90999999997</v>
      </c>
      <c r="K411" s="59">
        <f>VLOOKUP(A411,'611'!D:Q,14,FALSE)</f>
        <v>308509.90999999997</v>
      </c>
      <c r="O411" t="s">
        <v>531</v>
      </c>
      <c r="P411">
        <f>_xlfn.IFNA(VLOOKUP(A411,IndirectCost!B:L,11,FALSE),"")</f>
        <v>8</v>
      </c>
      <c r="Q411">
        <f t="shared" si="6"/>
        <v>0.08</v>
      </c>
    </row>
    <row r="412" spans="1:17">
      <c r="A412" t="s">
        <v>328</v>
      </c>
      <c r="B412" t="s">
        <v>1031</v>
      </c>
      <c r="C412" t="str">
        <f>VLOOKUP(A412,Districts!A:I,9,FALSE)</f>
        <v>MIDTOWN PRIMARY CHARTER SCHOOL</v>
      </c>
      <c r="D412" t="str">
        <f>VLOOKUP(A412,Districts!A:P,16,FALSE)</f>
        <v>LMHYT4KBPTC5</v>
      </c>
      <c r="E412" t="s">
        <v>528</v>
      </c>
      <c r="F412" s="1">
        <v>45200</v>
      </c>
      <c r="G412" t="s">
        <v>529</v>
      </c>
      <c r="H412" t="s">
        <v>530</v>
      </c>
      <c r="I412" s="59">
        <f>VLOOKUP(A412,'611'!D:F,3,FALSE)</f>
        <v>19037.400000000001</v>
      </c>
      <c r="J412" s="59">
        <f>VLOOKUP(A412,'611'!D:Q,14,FALSE)</f>
        <v>19037.400000000001</v>
      </c>
      <c r="K412" s="59">
        <f>VLOOKUP(A412,'611'!D:Q,14,FALSE)</f>
        <v>19037.400000000001</v>
      </c>
      <c r="O412" t="s">
        <v>531</v>
      </c>
      <c r="P412" t="str">
        <f>_xlfn.IFNA(VLOOKUP(A412,IndirectCost!B:L,11,FALSE),"")</f>
        <v/>
      </c>
      <c r="Q412">
        <f t="shared" si="6"/>
        <v>0</v>
      </c>
    </row>
    <row r="413" spans="1:17">
      <c r="A413" t="s">
        <v>329</v>
      </c>
      <c r="B413" t="s">
        <v>1032</v>
      </c>
      <c r="C413" t="str">
        <f>VLOOKUP(A413,Districts!A:I,9,FALSE)</f>
        <v>Milestones Charter School</v>
      </c>
      <c r="D413" t="str">
        <f>VLOOKUP(A413,Districts!A:P,16,FALSE)</f>
        <v>RT2JCKWYJBG3</v>
      </c>
      <c r="E413" t="s">
        <v>528</v>
      </c>
      <c r="F413" s="1">
        <v>45200</v>
      </c>
      <c r="G413" t="s">
        <v>529</v>
      </c>
      <c r="H413" t="s">
        <v>530</v>
      </c>
      <c r="I413" s="59">
        <f>VLOOKUP(A413,'611'!D:F,3,FALSE)</f>
        <v>29987.74</v>
      </c>
      <c r="J413" s="59">
        <f>VLOOKUP(A413,'611'!D:Q,14,FALSE)</f>
        <v>29987.74</v>
      </c>
      <c r="K413" s="59">
        <f>VLOOKUP(A413,'611'!D:Q,14,FALSE)</f>
        <v>29987.74</v>
      </c>
      <c r="O413" t="s">
        <v>531</v>
      </c>
      <c r="P413" t="str">
        <f>_xlfn.IFNA(VLOOKUP(A413,IndirectCost!B:L,11,FALSE),"")</f>
        <v/>
      </c>
      <c r="Q413">
        <f t="shared" si="6"/>
        <v>0</v>
      </c>
    </row>
    <row r="414" spans="1:17">
      <c r="A414" t="s">
        <v>330</v>
      </c>
      <c r="B414" t="s">
        <v>1033</v>
      </c>
      <c r="C414" t="str">
        <f>VLOOKUP(A414,Districts!A:I,9,FALSE)</f>
        <v>Mingus Springs Charter School</v>
      </c>
      <c r="D414" t="str">
        <f>VLOOKUP(A414,Districts!A:P,16,FALSE)</f>
        <v>TNYULH5YDVJ8</v>
      </c>
      <c r="E414" t="s">
        <v>528</v>
      </c>
      <c r="F414" s="1">
        <v>45200</v>
      </c>
      <c r="G414" t="s">
        <v>529</v>
      </c>
      <c r="H414" t="s">
        <v>530</v>
      </c>
      <c r="I414" s="59">
        <f>VLOOKUP(A414,'611'!D:F,3,FALSE)</f>
        <v>32507.83</v>
      </c>
      <c r="J414" s="59">
        <f>VLOOKUP(A414,'611'!D:Q,14,FALSE)</f>
        <v>32507.83</v>
      </c>
      <c r="K414" s="59">
        <f>VLOOKUP(A414,'611'!D:Q,14,FALSE)</f>
        <v>32507.83</v>
      </c>
      <c r="O414" t="s">
        <v>531</v>
      </c>
      <c r="P414" t="str">
        <f>_xlfn.IFNA(VLOOKUP(A414,IndirectCost!B:L,11,FALSE),"")</f>
        <v/>
      </c>
      <c r="Q414">
        <f t="shared" si="6"/>
        <v>0</v>
      </c>
    </row>
    <row r="415" spans="1:17">
      <c r="A415" t="s">
        <v>1034</v>
      </c>
      <c r="B415" t="s">
        <v>1035</v>
      </c>
      <c r="C415" t="str">
        <f>VLOOKUP(A415,Districts!A:I,9,FALSE)</f>
        <v>Mingus Union High School District</v>
      </c>
      <c r="D415" t="str">
        <f>VLOOKUP(A415,Districts!A:P,16,FALSE)</f>
        <v>PFZUXC5N7BS1</v>
      </c>
      <c r="E415" t="s">
        <v>528</v>
      </c>
      <c r="F415" s="1">
        <v>45200</v>
      </c>
      <c r="G415" t="s">
        <v>529</v>
      </c>
      <c r="H415" t="s">
        <v>530</v>
      </c>
      <c r="I415" s="59">
        <f>VLOOKUP(A415,'611'!D:F,3,FALSE)</f>
        <v>226425.62</v>
      </c>
      <c r="J415" s="59">
        <f>VLOOKUP(A415,'611'!D:Q,14,FALSE)</f>
        <v>246979.61</v>
      </c>
      <c r="K415" s="59">
        <f>VLOOKUP(A415,'611'!D:Q,14,FALSE)</f>
        <v>246979.61</v>
      </c>
      <c r="O415" t="s">
        <v>531</v>
      </c>
      <c r="P415">
        <f>_xlfn.IFNA(VLOOKUP(A415,IndirectCost!B:L,11,FALSE),"")</f>
        <v>6.77</v>
      </c>
      <c r="Q415">
        <f t="shared" si="6"/>
        <v>6.7699999999999996E-2</v>
      </c>
    </row>
    <row r="416" spans="1:17">
      <c r="A416" t="s">
        <v>331</v>
      </c>
      <c r="B416" t="s">
        <v>1036</v>
      </c>
      <c r="C416" t="str">
        <f>VLOOKUP(A416,Districts!A:I,9,FALSE)</f>
        <v>Mobile Elementary School District</v>
      </c>
      <c r="D416" t="str">
        <f>VLOOKUP(A416,Districts!A:P,16,FALSE)</f>
        <v>L8Q3SHGHMRA1</v>
      </c>
      <c r="E416" t="s">
        <v>528</v>
      </c>
      <c r="F416" s="1">
        <v>45200</v>
      </c>
      <c r="G416" t="s">
        <v>529</v>
      </c>
      <c r="H416" t="s">
        <v>530</v>
      </c>
      <c r="I416" s="59">
        <f>VLOOKUP(A416,'611'!D:F,3,FALSE)</f>
        <v>6874.49</v>
      </c>
      <c r="J416" s="59">
        <f>VLOOKUP(A416,'611'!D:Q,14,FALSE)</f>
        <v>6874.49</v>
      </c>
      <c r="K416" s="59">
        <f>VLOOKUP(A416,'611'!D:Q,14,FALSE)</f>
        <v>6874.49</v>
      </c>
      <c r="O416" t="s">
        <v>531</v>
      </c>
      <c r="P416" t="str">
        <f>_xlfn.IFNA(VLOOKUP(A416,IndirectCost!B:L,11,FALSE),"")</f>
        <v/>
      </c>
      <c r="Q416">
        <f t="shared" si="6"/>
        <v>0</v>
      </c>
    </row>
    <row r="417" spans="1:17">
      <c r="A417" t="s">
        <v>332</v>
      </c>
      <c r="B417" t="s">
        <v>1037</v>
      </c>
      <c r="C417" t="str">
        <f>VLOOKUP(A417,Districts!A:I,9,FALSE)</f>
        <v>Mohave Accelerated Elementary School, Inc</v>
      </c>
      <c r="D417" t="str">
        <f>VLOOKUP(A417,Districts!A:P,16,FALSE)</f>
        <v>WFL2JUL1CMM1</v>
      </c>
      <c r="E417" t="s">
        <v>528</v>
      </c>
      <c r="F417" s="1">
        <v>45200</v>
      </c>
      <c r="G417" t="s">
        <v>529</v>
      </c>
      <c r="H417" t="s">
        <v>530</v>
      </c>
      <c r="I417" s="59">
        <f>VLOOKUP(A417,'611'!D:F,3,FALSE)</f>
        <v>87339.48</v>
      </c>
      <c r="J417" s="59">
        <f>VLOOKUP(A417,'611'!D:Q,14,FALSE)</f>
        <v>87857.68</v>
      </c>
      <c r="K417" s="59">
        <f>VLOOKUP(A417,'611'!D:Q,14,FALSE)</f>
        <v>87857.68</v>
      </c>
      <c r="O417" t="s">
        <v>531</v>
      </c>
      <c r="P417" t="str">
        <f>_xlfn.IFNA(VLOOKUP(A417,IndirectCost!B:L,11,FALSE),"")</f>
        <v/>
      </c>
      <c r="Q417">
        <f t="shared" si="6"/>
        <v>0</v>
      </c>
    </row>
    <row r="418" spans="1:17">
      <c r="A418" t="s">
        <v>1038</v>
      </c>
      <c r="B418" t="s">
        <v>1039</v>
      </c>
      <c r="C418" t="str">
        <f>VLOOKUP(A418,Districts!A:I,9,FALSE)</f>
        <v>MOHAVE ACCELERATED LEARNING CENTER</v>
      </c>
      <c r="D418" t="str">
        <f>VLOOKUP(A418,Districts!A:P,16,FALSE)</f>
        <v>YHNED5C125R5</v>
      </c>
      <c r="E418" t="s">
        <v>528</v>
      </c>
      <c r="F418" s="1">
        <v>45200</v>
      </c>
      <c r="G418" t="s">
        <v>529</v>
      </c>
      <c r="H418" t="s">
        <v>530</v>
      </c>
      <c r="I418" s="59">
        <f>VLOOKUP(A418,'611'!D:F,3,FALSE)</f>
        <v>88828.19</v>
      </c>
      <c r="J418" s="59">
        <f>VLOOKUP(A418,'611'!D:Q,14,FALSE)</f>
        <v>88828.19</v>
      </c>
      <c r="K418" s="59">
        <f>VLOOKUP(A418,'611'!D:Q,14,FALSE)</f>
        <v>88828.19</v>
      </c>
      <c r="O418" t="s">
        <v>531</v>
      </c>
      <c r="P418" t="str">
        <f>_xlfn.IFNA(VLOOKUP(A418,IndirectCost!B:L,11,FALSE),"")</f>
        <v/>
      </c>
      <c r="Q418">
        <f t="shared" si="6"/>
        <v>0</v>
      </c>
    </row>
    <row r="419" spans="1:17">
      <c r="A419" t="s">
        <v>1040</v>
      </c>
      <c r="B419" t="s">
        <v>1041</v>
      </c>
      <c r="C419" t="str">
        <f>VLOOKUP(A419,Districts!A:I,9,FALSE)</f>
        <v>Mohave, County of</v>
      </c>
      <c r="D419" t="str">
        <f>VLOOKUP(A419,Districts!A:P,16,FALSE)</f>
        <v>V35YJGS4W9Y1</v>
      </c>
      <c r="E419" t="s">
        <v>528</v>
      </c>
      <c r="F419" s="1">
        <v>45200</v>
      </c>
      <c r="G419" t="s">
        <v>529</v>
      </c>
      <c r="H419" t="s">
        <v>530</v>
      </c>
      <c r="I419" s="59">
        <f>VLOOKUP(A419,'611'!D:F,3,FALSE)</f>
        <v>6156.97</v>
      </c>
      <c r="J419" s="59">
        <f>VLOOKUP(A419,'611'!D:Q,14,FALSE)</f>
        <v>10917.26</v>
      </c>
      <c r="K419" s="59">
        <f>VLOOKUP(A419,'611'!D:Q,14,FALSE)</f>
        <v>10917.26</v>
      </c>
      <c r="O419" t="s">
        <v>531</v>
      </c>
      <c r="P419" t="str">
        <f>_xlfn.IFNA(VLOOKUP(A419,IndirectCost!B:L,11,FALSE),"")</f>
        <v/>
      </c>
      <c r="Q419">
        <f t="shared" si="6"/>
        <v>0</v>
      </c>
    </row>
    <row r="420" spans="1:17">
      <c r="A420" t="s">
        <v>1042</v>
      </c>
      <c r="B420" t="s">
        <v>1043</v>
      </c>
      <c r="C420">
        <f>VLOOKUP(A420,Districts!A:I,9,FALSE)</f>
        <v>0</v>
      </c>
      <c r="D420">
        <f>VLOOKUP(A420,Districts!A:P,16,FALSE)</f>
        <v>0</v>
      </c>
      <c r="E420" t="s">
        <v>528</v>
      </c>
      <c r="F420" s="1">
        <v>45200</v>
      </c>
      <c r="G420" t="s">
        <v>529</v>
      </c>
      <c r="H420" t="s">
        <v>530</v>
      </c>
      <c r="I420" s="59">
        <f>VLOOKUP(A420,'611'!D:F,3,FALSE)</f>
        <v>1130.71</v>
      </c>
      <c r="J420" s="59">
        <f>VLOOKUP(A420,'611'!D:Q,14,FALSE)</f>
        <v>0</v>
      </c>
      <c r="K420" s="59">
        <f>VLOOKUP(A420,'611'!D:Q,14,FALSE)</f>
        <v>0</v>
      </c>
      <c r="O420" t="s">
        <v>531</v>
      </c>
      <c r="P420" t="str">
        <f>_xlfn.IFNA(VLOOKUP(A420,IndirectCost!B:L,11,FALSE),"")</f>
        <v/>
      </c>
      <c r="Q420">
        <f t="shared" si="6"/>
        <v>0</v>
      </c>
    </row>
    <row r="421" spans="1:17">
      <c r="A421" t="s">
        <v>333</v>
      </c>
      <c r="B421" t="s">
        <v>1044</v>
      </c>
      <c r="C421" t="str">
        <f>VLOOKUP(A421,Districts!A:I,9,FALSE)</f>
        <v>Mohave Valley Elementary School District 16</v>
      </c>
      <c r="D421" t="str">
        <f>VLOOKUP(A421,Districts!A:P,16,FALSE)</f>
        <v>CDQXLV7RAK98</v>
      </c>
      <c r="E421" t="s">
        <v>528</v>
      </c>
      <c r="F421" s="1">
        <v>45200</v>
      </c>
      <c r="G421" t="s">
        <v>529</v>
      </c>
      <c r="H421" t="s">
        <v>530</v>
      </c>
      <c r="I421" s="59">
        <f>VLOOKUP(A421,'611'!D:F,3,FALSE)</f>
        <v>317196.68</v>
      </c>
      <c r="J421" s="59">
        <f>VLOOKUP(A421,'611'!D:Q,14,FALSE)</f>
        <v>325750.67</v>
      </c>
      <c r="K421" s="59">
        <f>VLOOKUP(A421,'611'!D:Q,14,FALSE)</f>
        <v>325750.67</v>
      </c>
      <c r="O421" t="s">
        <v>531</v>
      </c>
      <c r="P421">
        <f>_xlfn.IFNA(VLOOKUP(A421,IndirectCost!B:L,11,FALSE),"")</f>
        <v>8</v>
      </c>
      <c r="Q421">
        <f t="shared" si="6"/>
        <v>0.08</v>
      </c>
    </row>
    <row r="422" spans="1:17">
      <c r="A422" t="s">
        <v>334</v>
      </c>
      <c r="B422" t="s">
        <v>1045</v>
      </c>
      <c r="C422" t="str">
        <f>VLOOKUP(A422,Districts!A:I,9,FALSE)</f>
        <v>Mohawk Valley School District</v>
      </c>
      <c r="D422" t="str">
        <f>VLOOKUP(A422,Districts!A:P,16,FALSE)</f>
        <v>NAJ6GH1SETM9</v>
      </c>
      <c r="E422" t="s">
        <v>528</v>
      </c>
      <c r="F422" s="1">
        <v>45200</v>
      </c>
      <c r="G422" t="s">
        <v>529</v>
      </c>
      <c r="H422" t="s">
        <v>530</v>
      </c>
      <c r="I422" s="59">
        <f>VLOOKUP(A422,'611'!D:F,3,FALSE)</f>
        <v>38020.33</v>
      </c>
      <c r="J422" s="59">
        <f>VLOOKUP(A422,'611'!D:Q,14,FALSE)</f>
        <v>38912.89</v>
      </c>
      <c r="K422" s="59">
        <f>VLOOKUP(A422,'611'!D:Q,14,FALSE)</f>
        <v>38912.89</v>
      </c>
      <c r="O422" t="s">
        <v>531</v>
      </c>
      <c r="P422" t="str">
        <f>_xlfn.IFNA(VLOOKUP(A422,IndirectCost!B:L,11,FALSE),"")</f>
        <v/>
      </c>
      <c r="Q422">
        <f t="shared" si="6"/>
        <v>0</v>
      </c>
    </row>
    <row r="423" spans="1:17">
      <c r="A423" t="s">
        <v>335</v>
      </c>
      <c r="B423" t="s">
        <v>1046</v>
      </c>
      <c r="C423" t="str">
        <f>VLOOKUP(A423,Districts!A:I,9,FALSE)</f>
        <v>Montessori Academy Inc.</v>
      </c>
      <c r="D423" t="str">
        <f>VLOOKUP(A423,Districts!A:P,16,FALSE)</f>
        <v>GFLFALQ9ATN6</v>
      </c>
      <c r="E423" t="s">
        <v>528</v>
      </c>
      <c r="F423" s="1">
        <v>45200</v>
      </c>
      <c r="G423" t="s">
        <v>529</v>
      </c>
      <c r="H423" t="s">
        <v>530</v>
      </c>
      <c r="I423" s="59">
        <f>VLOOKUP(A423,'611'!D:F,3,FALSE)</f>
        <v>25149.73</v>
      </c>
      <c r="J423" s="59">
        <f>VLOOKUP(A423,'611'!D:Q,14,FALSE)</f>
        <v>25149.73</v>
      </c>
      <c r="K423" s="59">
        <f>VLOOKUP(A423,'611'!D:Q,14,FALSE)</f>
        <v>25149.73</v>
      </c>
      <c r="O423" t="s">
        <v>531</v>
      </c>
      <c r="P423" t="str">
        <f>_xlfn.IFNA(VLOOKUP(A423,IndirectCost!B:L,11,FALSE),"")</f>
        <v/>
      </c>
      <c r="Q423">
        <f t="shared" si="6"/>
        <v>0</v>
      </c>
    </row>
    <row r="424" spans="1:17">
      <c r="A424" t="s">
        <v>336</v>
      </c>
      <c r="B424" t="s">
        <v>1047</v>
      </c>
      <c r="C424" t="str">
        <f>VLOOKUP(A424,Districts!A:I,9,FALSE)</f>
        <v>Montessori Day Public Schools, Chartered</v>
      </c>
      <c r="D424" t="str">
        <f>VLOOKUP(A424,Districts!A:P,16,FALSE)</f>
        <v>EQVSD4LEWK73</v>
      </c>
      <c r="E424" t="s">
        <v>528</v>
      </c>
      <c r="F424" s="1">
        <v>45200</v>
      </c>
      <c r="G424" t="s">
        <v>529</v>
      </c>
      <c r="H424" t="s">
        <v>530</v>
      </c>
      <c r="I424" s="59">
        <f>VLOOKUP(A424,'611'!D:F,3,FALSE)</f>
        <v>29230.95</v>
      </c>
      <c r="J424" s="59">
        <f>VLOOKUP(A424,'611'!D:Q,14,FALSE)</f>
        <v>29230.95</v>
      </c>
      <c r="K424" s="59">
        <f>VLOOKUP(A424,'611'!D:Q,14,FALSE)</f>
        <v>29230.95</v>
      </c>
      <c r="O424" t="s">
        <v>531</v>
      </c>
      <c r="P424" t="str">
        <f>_xlfn.IFNA(VLOOKUP(A424,IndirectCost!B:L,11,FALSE),"")</f>
        <v/>
      </c>
      <c r="Q424">
        <f t="shared" si="6"/>
        <v>0</v>
      </c>
    </row>
    <row r="425" spans="1:17">
      <c r="A425" t="s">
        <v>337</v>
      </c>
      <c r="B425" t="s">
        <v>1048</v>
      </c>
      <c r="C425" t="str">
        <f>VLOOKUP(A425,Districts!A:I,9,FALSE)</f>
        <v>Montessori Ed Center Charter School</v>
      </c>
      <c r="D425" t="str">
        <f>VLOOKUP(A425,Districts!A:P,16,FALSE)</f>
        <v>YSBEWEDLYNH5</v>
      </c>
      <c r="E425" t="s">
        <v>528</v>
      </c>
      <c r="F425" s="1">
        <v>45200</v>
      </c>
      <c r="G425" t="s">
        <v>529</v>
      </c>
      <c r="H425" t="s">
        <v>530</v>
      </c>
      <c r="I425" s="59">
        <f>VLOOKUP(A425,'611'!D:F,3,FALSE)</f>
        <v>67038.09</v>
      </c>
      <c r="J425" s="59">
        <f>VLOOKUP(A425,'611'!D:Q,14,FALSE)</f>
        <v>67038.09</v>
      </c>
      <c r="K425" s="59">
        <f>VLOOKUP(A425,'611'!D:Q,14,FALSE)</f>
        <v>67038.09</v>
      </c>
      <c r="O425" t="s">
        <v>531</v>
      </c>
      <c r="P425" t="str">
        <f>_xlfn.IFNA(VLOOKUP(A425,IndirectCost!B:L,11,FALSE),"")</f>
        <v/>
      </c>
      <c r="Q425">
        <f t="shared" si="6"/>
        <v>0</v>
      </c>
    </row>
    <row r="426" spans="1:17">
      <c r="A426" t="s">
        <v>338</v>
      </c>
      <c r="B426" t="s">
        <v>1049</v>
      </c>
      <c r="C426" t="str">
        <f>VLOOKUP(A426,Districts!A:I,9,FALSE)</f>
        <v>Morenci School District 18</v>
      </c>
      <c r="D426" t="str">
        <f>VLOOKUP(A426,Districts!A:P,16,FALSE)</f>
        <v>DN94XNVXCDX1</v>
      </c>
      <c r="E426" t="s">
        <v>528</v>
      </c>
      <c r="F426" s="1">
        <v>45200</v>
      </c>
      <c r="G426" t="s">
        <v>529</v>
      </c>
      <c r="H426" t="s">
        <v>530</v>
      </c>
      <c r="I426" s="59">
        <f>VLOOKUP(A426,'611'!D:F,3,FALSE)</f>
        <v>270169.74</v>
      </c>
      <c r="J426" s="59">
        <f>VLOOKUP(A426,'611'!D:Q,14,FALSE)</f>
        <v>349020.11</v>
      </c>
      <c r="K426" s="59">
        <f>VLOOKUP(A426,'611'!D:Q,14,FALSE)</f>
        <v>349020.11</v>
      </c>
      <c r="O426" t="s">
        <v>531</v>
      </c>
      <c r="P426" t="str">
        <f>_xlfn.IFNA(VLOOKUP(A426,IndirectCost!B:L,11,FALSE),"")</f>
        <v/>
      </c>
      <c r="Q426">
        <f t="shared" si="6"/>
        <v>0</v>
      </c>
    </row>
    <row r="427" spans="1:17">
      <c r="A427" t="s">
        <v>340</v>
      </c>
      <c r="B427" t="s">
        <v>1050</v>
      </c>
      <c r="C427" t="str">
        <f>VLOOKUP(A427,Districts!A:I,9,FALSE)</f>
        <v>SUN VALLEY ACADEMY - AVONDALE, INC.</v>
      </c>
      <c r="D427" t="str">
        <f>VLOOKUP(A427,Districts!A:P,16,FALSE)</f>
        <v>JEMRYMRSYMK8</v>
      </c>
      <c r="E427" t="s">
        <v>528</v>
      </c>
      <c r="F427" s="1">
        <v>45200</v>
      </c>
      <c r="G427" t="s">
        <v>529</v>
      </c>
      <c r="H427" t="s">
        <v>530</v>
      </c>
      <c r="I427" s="59">
        <f>VLOOKUP(A427,'611'!D:F,3,FALSE)</f>
        <v>64394.23</v>
      </c>
      <c r="J427" s="59">
        <f>VLOOKUP(A427,'611'!D:Q,14,FALSE)</f>
        <v>64394.23</v>
      </c>
      <c r="K427" s="59">
        <f>VLOOKUP(A427,'611'!D:Q,14,FALSE)</f>
        <v>64394.23</v>
      </c>
      <c r="O427" t="s">
        <v>531</v>
      </c>
      <c r="P427">
        <f>_xlfn.IFNA(VLOOKUP(A427,IndirectCost!B:L,11,FALSE),"")</f>
        <v>0</v>
      </c>
      <c r="Q427">
        <f t="shared" si="6"/>
        <v>0</v>
      </c>
    </row>
    <row r="428" spans="1:17">
      <c r="A428" t="s">
        <v>339</v>
      </c>
      <c r="B428" t="s">
        <v>1050</v>
      </c>
      <c r="C428" t="str">
        <f>VLOOKUP(A428,Districts!A:I,9,FALSE)</f>
        <v>Morrison Education Group Inc</v>
      </c>
      <c r="D428" t="str">
        <f>VLOOKUP(A428,Districts!A:P,16,FALSE)</f>
        <v>DE42JW7J1B16</v>
      </c>
      <c r="E428" t="s">
        <v>528</v>
      </c>
      <c r="F428" s="1">
        <v>45200</v>
      </c>
      <c r="G428" t="s">
        <v>529</v>
      </c>
      <c r="H428" t="s">
        <v>530</v>
      </c>
      <c r="I428" s="59">
        <f>VLOOKUP(A428,'611'!D:F,3,FALSE)</f>
        <v>92695.61</v>
      </c>
      <c r="J428" s="59">
        <f>VLOOKUP(A428,'611'!D:Q,14,FALSE)</f>
        <v>92695.61</v>
      </c>
      <c r="K428" s="59">
        <f>VLOOKUP(A428,'611'!D:Q,14,FALSE)</f>
        <v>92695.61</v>
      </c>
      <c r="O428" t="s">
        <v>531</v>
      </c>
      <c r="P428">
        <f>_xlfn.IFNA(VLOOKUP(A428,IndirectCost!B:L,11,FALSE),"")</f>
        <v>0</v>
      </c>
      <c r="Q428">
        <f t="shared" si="6"/>
        <v>0</v>
      </c>
    </row>
    <row r="429" spans="1:17">
      <c r="A429" t="s">
        <v>341</v>
      </c>
      <c r="B429" t="s">
        <v>1051</v>
      </c>
      <c r="C429" t="str">
        <f>VLOOKUP(A429,Districts!A:I,9,FALSE)</f>
        <v>MORRISTOWN ELEMENTARY DISTRICT</v>
      </c>
      <c r="D429" t="str">
        <f>VLOOKUP(A429,Districts!A:P,16,FALSE)</f>
        <v>LK2HAJ4WZNM4</v>
      </c>
      <c r="E429" t="s">
        <v>528</v>
      </c>
      <c r="F429" s="1">
        <v>45200</v>
      </c>
      <c r="G429" t="s">
        <v>529</v>
      </c>
      <c r="H429" t="s">
        <v>530</v>
      </c>
      <c r="I429" s="59">
        <f>VLOOKUP(A429,'611'!D:F,3,FALSE)</f>
        <v>46305.87</v>
      </c>
      <c r="J429" s="59">
        <f>VLOOKUP(A429,'611'!D:Q,14,FALSE)</f>
        <v>64909.68</v>
      </c>
      <c r="K429" s="59">
        <f>VLOOKUP(A429,'611'!D:Q,14,FALSE)</f>
        <v>64909.68</v>
      </c>
      <c r="O429" t="s">
        <v>531</v>
      </c>
      <c r="P429">
        <f>_xlfn.IFNA(VLOOKUP(A429,IndirectCost!B:L,11,FALSE),"")</f>
        <v>8</v>
      </c>
      <c r="Q429">
        <f t="shared" si="6"/>
        <v>0.08</v>
      </c>
    </row>
    <row r="430" spans="1:17">
      <c r="A430" t="s">
        <v>342</v>
      </c>
      <c r="B430" t="s">
        <v>1052</v>
      </c>
      <c r="C430" t="str">
        <f>VLOOKUP(A430,Districts!A:I,9,FALSE)</f>
        <v>Mountain Oak Charter School</v>
      </c>
      <c r="D430" t="str">
        <f>VLOOKUP(A430,Districts!A:P,16,FALSE)</f>
        <v>ZY25NSW4M4U6</v>
      </c>
      <c r="E430" t="s">
        <v>528</v>
      </c>
      <c r="F430" s="1">
        <v>45200</v>
      </c>
      <c r="G430" t="s">
        <v>529</v>
      </c>
      <c r="H430" t="s">
        <v>530</v>
      </c>
      <c r="I430" s="59">
        <f>VLOOKUP(A430,'611'!D:F,3,FALSE)</f>
        <v>14186.9</v>
      </c>
      <c r="J430" s="59">
        <f>VLOOKUP(A430,'611'!D:Q,14,FALSE)</f>
        <v>28574.95</v>
      </c>
      <c r="K430" s="59">
        <f>VLOOKUP(A430,'611'!D:Q,14,FALSE)</f>
        <v>28574.95</v>
      </c>
      <c r="O430" t="s">
        <v>531</v>
      </c>
      <c r="P430" t="str">
        <f>_xlfn.IFNA(VLOOKUP(A430,IndirectCost!B:L,11,FALSE),"")</f>
        <v/>
      </c>
      <c r="Q430">
        <f t="shared" si="6"/>
        <v>0</v>
      </c>
    </row>
    <row r="431" spans="1:17">
      <c r="A431" t="s">
        <v>343</v>
      </c>
      <c r="B431" t="s">
        <v>1053</v>
      </c>
      <c r="C431" t="str">
        <f>VLOOKUP(A431,Districts!A:I,9,FALSE)</f>
        <v>Mountain School, Inc.</v>
      </c>
      <c r="D431" t="str">
        <f>VLOOKUP(A431,Districts!A:P,16,FALSE)</f>
        <v>F64HVMNT6CE8</v>
      </c>
      <c r="E431" t="s">
        <v>528</v>
      </c>
      <c r="F431" s="1">
        <v>45200</v>
      </c>
      <c r="G431" t="s">
        <v>529</v>
      </c>
      <c r="H431" t="s">
        <v>530</v>
      </c>
      <c r="I431" s="59">
        <f>VLOOKUP(A431,'611'!D:F,3,FALSE)</f>
        <v>28285.56</v>
      </c>
      <c r="J431" s="59">
        <f>VLOOKUP(A431,'611'!D:Q,14,FALSE)</f>
        <v>28285.56</v>
      </c>
      <c r="K431" s="59">
        <f>VLOOKUP(A431,'611'!D:Q,14,FALSE)</f>
        <v>28285.56</v>
      </c>
      <c r="O431" t="s">
        <v>531</v>
      </c>
      <c r="P431" t="str">
        <f>_xlfn.IFNA(VLOOKUP(A431,IndirectCost!B:L,11,FALSE),"")</f>
        <v/>
      </c>
      <c r="Q431">
        <f t="shared" si="6"/>
        <v>0</v>
      </c>
    </row>
    <row r="432" spans="1:17">
      <c r="A432" t="s">
        <v>344</v>
      </c>
      <c r="B432" t="s">
        <v>1054</v>
      </c>
      <c r="C432" t="str">
        <f>VLOOKUP(A432,Districts!A:I,9,FALSE)</f>
        <v>Murphy School District No 21</v>
      </c>
      <c r="D432" t="str">
        <f>VLOOKUP(A432,Districts!A:P,16,FALSE)</f>
        <v>WD37GFJN5XR8</v>
      </c>
      <c r="E432" t="s">
        <v>528</v>
      </c>
      <c r="F432" s="1">
        <v>45200</v>
      </c>
      <c r="G432" t="s">
        <v>529</v>
      </c>
      <c r="H432" t="s">
        <v>530</v>
      </c>
      <c r="I432" s="59">
        <f>VLOOKUP(A432,'611'!D:F,3,FALSE)</f>
        <v>370540.49</v>
      </c>
      <c r="J432" s="59">
        <f>VLOOKUP(A432,'611'!D:Q,14,FALSE)</f>
        <v>439581.68</v>
      </c>
      <c r="K432" s="59">
        <f>VLOOKUP(A432,'611'!D:Q,14,FALSE)</f>
        <v>439581.68</v>
      </c>
      <c r="O432" t="s">
        <v>531</v>
      </c>
      <c r="P432">
        <f>_xlfn.IFNA(VLOOKUP(A432,IndirectCost!B:L,11,FALSE),"")</f>
        <v>2.96</v>
      </c>
      <c r="Q432">
        <f t="shared" si="6"/>
        <v>2.9600000000000001E-2</v>
      </c>
    </row>
    <row r="433" spans="1:17">
      <c r="A433" t="s">
        <v>345</v>
      </c>
      <c r="B433" t="s">
        <v>1055</v>
      </c>
      <c r="C433" t="str">
        <f>VLOOKUP(A433,Districts!A:I,9,FALSE)</f>
        <v>Naco Elementary School District #23</v>
      </c>
      <c r="D433" t="str">
        <f>VLOOKUP(A433,Districts!A:P,16,FALSE)</f>
        <v>DARFCMBALGL9</v>
      </c>
      <c r="E433" t="s">
        <v>528</v>
      </c>
      <c r="F433" s="1">
        <v>45200</v>
      </c>
      <c r="G433" t="s">
        <v>529</v>
      </c>
      <c r="H433" t="s">
        <v>530</v>
      </c>
      <c r="I433" s="59">
        <f>VLOOKUP(A433,'611'!D:F,3,FALSE)</f>
        <v>77883.66</v>
      </c>
      <c r="J433" s="59">
        <f>VLOOKUP(A433,'611'!D:Q,14,FALSE)</f>
        <v>77883.66</v>
      </c>
      <c r="K433" s="59">
        <f>VLOOKUP(A433,'611'!D:Q,14,FALSE)</f>
        <v>77883.66</v>
      </c>
      <c r="O433" t="s">
        <v>531</v>
      </c>
      <c r="P433">
        <f>_xlfn.IFNA(VLOOKUP(A433,IndirectCost!B:L,11,FALSE),"")</f>
        <v>8</v>
      </c>
      <c r="Q433">
        <f t="shared" si="6"/>
        <v>0.08</v>
      </c>
    </row>
    <row r="434" spans="1:17">
      <c r="A434" t="s">
        <v>346</v>
      </c>
      <c r="B434" t="s">
        <v>1056</v>
      </c>
      <c r="C434" t="str">
        <f>VLOOKUP(A434,Districts!A:I,9,FALSE)</f>
        <v>Nadaburg Unified School District NO. 81</v>
      </c>
      <c r="D434" t="str">
        <f>VLOOKUP(A434,Districts!A:P,16,FALSE)</f>
        <v>HKGBN17ZB476</v>
      </c>
      <c r="E434" t="s">
        <v>528</v>
      </c>
      <c r="F434" s="1">
        <v>45200</v>
      </c>
      <c r="G434" t="s">
        <v>529</v>
      </c>
      <c r="H434" t="s">
        <v>530</v>
      </c>
      <c r="I434" s="59">
        <f>VLOOKUP(A434,'611'!D:F,3,FALSE)</f>
        <v>253674.85</v>
      </c>
      <c r="J434" s="59">
        <f>VLOOKUP(A434,'611'!D:Q,14,FALSE)</f>
        <v>289660.26</v>
      </c>
      <c r="K434" s="59">
        <f>VLOOKUP(A434,'611'!D:Q,14,FALSE)</f>
        <v>289660.26</v>
      </c>
      <c r="O434" t="s">
        <v>531</v>
      </c>
      <c r="P434">
        <f>_xlfn.IFNA(VLOOKUP(A434,IndirectCost!B:L,11,FALSE),"")</f>
        <v>5.83</v>
      </c>
      <c r="Q434">
        <f t="shared" si="6"/>
        <v>5.8299999999999998E-2</v>
      </c>
    </row>
    <row r="435" spans="1:17">
      <c r="A435" t="s">
        <v>1057</v>
      </c>
      <c r="B435" t="s">
        <v>1058</v>
      </c>
      <c r="C435" t="str">
        <f>VLOOKUP(A435,Districts!A:I,9,FALSE)</f>
        <v>Navajo County Accommodation District</v>
      </c>
      <c r="D435" t="str">
        <f>VLOOKUP(A435,Districts!A:P,16,FALSE)</f>
        <v>USJ9LN85KAV6</v>
      </c>
      <c r="E435" t="s">
        <v>528</v>
      </c>
      <c r="F435" s="1">
        <v>45200</v>
      </c>
      <c r="G435" t="s">
        <v>529</v>
      </c>
      <c r="H435" t="s">
        <v>530</v>
      </c>
      <c r="I435" s="59">
        <f>VLOOKUP(A435,'611'!D:F,3,FALSE)</f>
        <v>2953.4</v>
      </c>
      <c r="J435" s="59">
        <f>VLOOKUP(A435,'611'!D:Q,14,FALSE)</f>
        <v>3000.41</v>
      </c>
      <c r="K435" s="59">
        <f>VLOOKUP(A435,'611'!D:Q,14,FALSE)</f>
        <v>3000.41</v>
      </c>
      <c r="O435" t="s">
        <v>531</v>
      </c>
      <c r="P435" t="str">
        <f>_xlfn.IFNA(VLOOKUP(A435,IndirectCost!B:L,11,FALSE),"")</f>
        <v/>
      </c>
      <c r="Q435">
        <f t="shared" si="6"/>
        <v>0</v>
      </c>
    </row>
    <row r="436" spans="1:17">
      <c r="A436" t="s">
        <v>1059</v>
      </c>
      <c r="B436" t="s">
        <v>1060</v>
      </c>
      <c r="C436" t="str">
        <f>VLOOKUP(A436,Districts!A:I,9,FALSE)</f>
        <v>Hope School</v>
      </c>
      <c r="D436" t="str">
        <f>VLOOKUP(A436,Districts!A:P,16,FALSE)</f>
        <v>JNTYPMSLJCJ3</v>
      </c>
      <c r="E436" t="s">
        <v>528</v>
      </c>
      <c r="F436" s="1">
        <v>45200</v>
      </c>
      <c r="G436" t="s">
        <v>529</v>
      </c>
      <c r="H436" t="s">
        <v>530</v>
      </c>
      <c r="I436" s="59">
        <f>VLOOKUP(A436,'611'!D:F,3,FALSE)</f>
        <v>3205.12</v>
      </c>
      <c r="J436" s="59">
        <f>VLOOKUP(A436,'611'!D:Q,14,FALSE)</f>
        <v>3205.12</v>
      </c>
      <c r="K436" s="59">
        <f>VLOOKUP(A436,'611'!D:Q,14,FALSE)</f>
        <v>3205.12</v>
      </c>
      <c r="O436" t="s">
        <v>531</v>
      </c>
      <c r="P436" t="str">
        <f>_xlfn.IFNA(VLOOKUP(A436,IndirectCost!B:L,11,FALSE),"")</f>
        <v/>
      </c>
      <c r="Q436">
        <f t="shared" si="6"/>
        <v>0</v>
      </c>
    </row>
    <row r="437" spans="1:17">
      <c r="A437" t="s">
        <v>347</v>
      </c>
      <c r="B437" t="s">
        <v>1061</v>
      </c>
      <c r="C437" t="str">
        <f>VLOOKUP(A437,Districts!A:I,9,FALSE)</f>
        <v>New Horizon School for the Performing Arts</v>
      </c>
      <c r="D437" t="str">
        <f>VLOOKUP(A437,Districts!A:P,16,FALSE)</f>
        <v>X2GYRTGAUT18</v>
      </c>
      <c r="E437" t="s">
        <v>528</v>
      </c>
      <c r="F437" s="1">
        <v>45200</v>
      </c>
      <c r="G437" t="s">
        <v>529</v>
      </c>
      <c r="H437" t="s">
        <v>530</v>
      </c>
      <c r="I437" s="59">
        <f>VLOOKUP(A437,'611'!D:F,3,FALSE)</f>
        <v>28352.23</v>
      </c>
      <c r="J437" s="59">
        <f>VLOOKUP(A437,'611'!D:Q,14,FALSE)</f>
        <v>33940.17</v>
      </c>
      <c r="K437" s="59">
        <f>VLOOKUP(A437,'611'!D:Q,14,FALSE)</f>
        <v>33940.17</v>
      </c>
      <c r="O437" t="s">
        <v>531</v>
      </c>
      <c r="P437" t="str">
        <f>_xlfn.IFNA(VLOOKUP(A437,IndirectCost!B:L,11,FALSE),"")</f>
        <v/>
      </c>
      <c r="Q437">
        <f t="shared" si="6"/>
        <v>0</v>
      </c>
    </row>
    <row r="438" spans="1:17">
      <c r="A438" t="s">
        <v>348</v>
      </c>
      <c r="B438" t="s">
        <v>1062</v>
      </c>
      <c r="C438" t="str">
        <f>VLOOKUP(A438,Districts!A:I,9,FALSE)</f>
        <v>New Learning Ventures, Inc</v>
      </c>
      <c r="D438" t="str">
        <f>VLOOKUP(A438,Districts!A:P,16,FALSE)</f>
        <v>M2QEEC4LNK66</v>
      </c>
      <c r="E438" t="s">
        <v>528</v>
      </c>
      <c r="F438" s="1">
        <v>45200</v>
      </c>
      <c r="G438" t="s">
        <v>529</v>
      </c>
      <c r="H438" t="s">
        <v>530</v>
      </c>
      <c r="I438" s="59">
        <f>VLOOKUP(A438,'611'!D:F,3,FALSE)</f>
        <v>21574.02</v>
      </c>
      <c r="J438" s="59">
        <f>VLOOKUP(A438,'611'!D:Q,14,FALSE)</f>
        <v>21574.02</v>
      </c>
      <c r="K438" s="59">
        <f>VLOOKUP(A438,'611'!D:Q,14,FALSE)</f>
        <v>21574.02</v>
      </c>
      <c r="O438" t="s">
        <v>531</v>
      </c>
      <c r="P438" t="str">
        <f>_xlfn.IFNA(VLOOKUP(A438,IndirectCost!B:L,11,FALSE),"")</f>
        <v/>
      </c>
      <c r="Q438">
        <f t="shared" si="6"/>
        <v>0</v>
      </c>
    </row>
    <row r="439" spans="1:17">
      <c r="A439" t="s">
        <v>1063</v>
      </c>
      <c r="B439" t="s">
        <v>1064</v>
      </c>
      <c r="C439" t="str">
        <f>VLOOKUP(A439,Districts!A:I,9,FALSE)</f>
        <v>NEW SCHOOL FOR ARTS MIDDLE SCHOOL</v>
      </c>
      <c r="D439" t="str">
        <f>VLOOKUP(A439,Districts!A:P,16,FALSE)</f>
        <v>CTZDYGK5ACK8</v>
      </c>
      <c r="E439" t="s">
        <v>528</v>
      </c>
      <c r="F439" s="1">
        <v>45200</v>
      </c>
      <c r="G439" t="s">
        <v>529</v>
      </c>
      <c r="H439" t="s">
        <v>530</v>
      </c>
      <c r="I439" s="59">
        <f>VLOOKUP(A439,'611'!D:F,3,FALSE)</f>
        <v>14560.06</v>
      </c>
      <c r="J439" s="59">
        <f>VLOOKUP(A439,'611'!D:Q,14,FALSE)</f>
        <v>14560.06</v>
      </c>
      <c r="K439" s="59">
        <f>VLOOKUP(A439,'611'!D:Q,14,FALSE)</f>
        <v>14560.06</v>
      </c>
      <c r="O439" t="s">
        <v>531</v>
      </c>
      <c r="P439" t="str">
        <f>_xlfn.IFNA(VLOOKUP(A439,IndirectCost!B:L,11,FALSE),"")</f>
        <v/>
      </c>
      <c r="Q439">
        <f t="shared" si="6"/>
        <v>0</v>
      </c>
    </row>
    <row r="440" spans="1:17">
      <c r="A440" t="s">
        <v>1065</v>
      </c>
      <c r="B440" t="s">
        <v>1066</v>
      </c>
      <c r="C440" t="str">
        <f>VLOOKUP(A440,Districts!A:I,9,FALSE)</f>
        <v>New School for the Arts</v>
      </c>
      <c r="D440" t="str">
        <f>VLOOKUP(A440,Districts!A:P,16,FALSE)</f>
        <v>GLYFBMB6AD98</v>
      </c>
      <c r="E440" t="s">
        <v>528</v>
      </c>
      <c r="F440" s="1">
        <v>45200</v>
      </c>
      <c r="G440" t="s">
        <v>529</v>
      </c>
      <c r="H440" t="s">
        <v>530</v>
      </c>
      <c r="I440" s="59">
        <f>VLOOKUP(A440,'611'!D:F,3,FALSE)</f>
        <v>32302.41</v>
      </c>
      <c r="J440" s="59">
        <f>VLOOKUP(A440,'611'!D:Q,14,FALSE)</f>
        <v>32302.41</v>
      </c>
      <c r="K440" s="59">
        <f>VLOOKUP(A440,'611'!D:Q,14,FALSE)</f>
        <v>32302.41</v>
      </c>
      <c r="O440" t="s">
        <v>531</v>
      </c>
      <c r="P440" t="str">
        <f>_xlfn.IFNA(VLOOKUP(A440,IndirectCost!B:L,11,FALSE),"")</f>
        <v/>
      </c>
      <c r="Q440">
        <f t="shared" si="6"/>
        <v>0</v>
      </c>
    </row>
    <row r="441" spans="1:17">
      <c r="A441" t="s">
        <v>349</v>
      </c>
      <c r="B441" t="s">
        <v>1067</v>
      </c>
      <c r="C441" t="str">
        <f>VLOOKUP(A441,Districts!A:I,9,FALSE)</f>
        <v>New World Educational Center</v>
      </c>
      <c r="D441" t="str">
        <f>VLOOKUP(A441,Districts!A:P,16,FALSE)</f>
        <v>M6Y3JZE4L523</v>
      </c>
      <c r="E441" t="s">
        <v>528</v>
      </c>
      <c r="F441" s="1">
        <v>45200</v>
      </c>
      <c r="G441" t="s">
        <v>529</v>
      </c>
      <c r="H441" t="s">
        <v>530</v>
      </c>
      <c r="I441" s="59">
        <f>VLOOKUP(A441,'611'!D:F,3,FALSE)</f>
        <v>26567.68</v>
      </c>
      <c r="J441" s="59">
        <f>VLOOKUP(A441,'611'!D:Q,14,FALSE)</f>
        <v>26567.68</v>
      </c>
      <c r="K441" s="59">
        <f>VLOOKUP(A441,'611'!D:Q,14,FALSE)</f>
        <v>26567.68</v>
      </c>
      <c r="O441" t="s">
        <v>531</v>
      </c>
      <c r="P441" t="str">
        <f>_xlfn.IFNA(VLOOKUP(A441,IndirectCost!B:L,11,FALSE),"")</f>
        <v/>
      </c>
      <c r="Q441">
        <f t="shared" si="6"/>
        <v>0</v>
      </c>
    </row>
    <row r="442" spans="1:17">
      <c r="A442" t="s">
        <v>350</v>
      </c>
      <c r="B442" t="s">
        <v>1068</v>
      </c>
      <c r="C442" t="str">
        <f>VLOOKUP(A442,Districts!A:I,9,FALSE)</f>
        <v>Noah Webster Schools-Mesa</v>
      </c>
      <c r="D442" t="str">
        <f>VLOOKUP(A442,Districts!A:P,16,FALSE)</f>
        <v>HPMPHYRFX5T5</v>
      </c>
      <c r="E442" t="s">
        <v>528</v>
      </c>
      <c r="F442" s="1">
        <v>45200</v>
      </c>
      <c r="G442" t="s">
        <v>529</v>
      </c>
      <c r="H442" t="s">
        <v>530</v>
      </c>
      <c r="I442" s="59">
        <f>VLOOKUP(A442,'611'!D:F,3,FALSE)</f>
        <v>110501.74</v>
      </c>
      <c r="J442" s="59">
        <f>VLOOKUP(A442,'611'!D:Q,14,FALSE)</f>
        <v>110501.74</v>
      </c>
      <c r="K442" s="59">
        <f>VLOOKUP(A442,'611'!D:Q,14,FALSE)</f>
        <v>110501.74</v>
      </c>
      <c r="O442" t="s">
        <v>531</v>
      </c>
      <c r="P442" t="str">
        <f>_xlfn.IFNA(VLOOKUP(A442,IndirectCost!B:L,11,FALSE),"")</f>
        <v/>
      </c>
      <c r="Q442">
        <f t="shared" si="6"/>
        <v>0</v>
      </c>
    </row>
    <row r="443" spans="1:17">
      <c r="A443" t="s">
        <v>351</v>
      </c>
      <c r="B443" t="s">
        <v>1069</v>
      </c>
      <c r="C443" t="str">
        <f>VLOOKUP(A443,Districts!A:I,9,FALSE)</f>
        <v>Noah Webster Schools-Pima</v>
      </c>
      <c r="D443" t="str">
        <f>VLOOKUP(A443,Districts!A:P,16,FALSE)</f>
        <v>H1TCZPAD25B3</v>
      </c>
      <c r="E443" t="s">
        <v>528</v>
      </c>
      <c r="F443" s="1">
        <v>45200</v>
      </c>
      <c r="G443" t="s">
        <v>529</v>
      </c>
      <c r="H443" t="s">
        <v>530</v>
      </c>
      <c r="I443" s="59">
        <f>VLOOKUP(A443,'611'!D:F,3,FALSE)</f>
        <v>54057.43</v>
      </c>
      <c r="J443" s="59">
        <f>VLOOKUP(A443,'611'!D:Q,14,FALSE)</f>
        <v>54057.43</v>
      </c>
      <c r="K443" s="59">
        <f>VLOOKUP(A443,'611'!D:Q,14,FALSE)</f>
        <v>54057.43</v>
      </c>
      <c r="O443" t="s">
        <v>531</v>
      </c>
      <c r="P443" t="str">
        <f>_xlfn.IFNA(VLOOKUP(A443,IndirectCost!B:L,11,FALSE),"")</f>
        <v/>
      </c>
      <c r="Q443">
        <f t="shared" si="6"/>
        <v>0</v>
      </c>
    </row>
    <row r="444" spans="1:17">
      <c r="A444" t="s">
        <v>352</v>
      </c>
      <c r="B444" t="s">
        <v>1070</v>
      </c>
      <c r="C444" t="str">
        <f>VLOOKUP(A444,Districts!A:I,9,FALSE)</f>
        <v>Nogales Unified School District 001</v>
      </c>
      <c r="D444" t="str">
        <f>VLOOKUP(A444,Districts!A:P,16,FALSE)</f>
        <v>WDHKL46SJK46</v>
      </c>
      <c r="E444" t="s">
        <v>528</v>
      </c>
      <c r="F444" s="1">
        <v>45200</v>
      </c>
      <c r="G444" t="s">
        <v>529</v>
      </c>
      <c r="H444" t="s">
        <v>530</v>
      </c>
      <c r="I444" s="59">
        <f>VLOOKUP(A444,'611'!D:F,3,FALSE)</f>
        <v>1254622.6000000001</v>
      </c>
      <c r="J444" s="59">
        <f>VLOOKUP(A444,'611'!D:Q,14,FALSE)</f>
        <v>1991150.26</v>
      </c>
      <c r="K444" s="59">
        <f>VLOOKUP(A444,'611'!D:Q,14,FALSE)</f>
        <v>1991150.26</v>
      </c>
      <c r="O444" t="s">
        <v>531</v>
      </c>
      <c r="P444">
        <f>_xlfn.IFNA(VLOOKUP(A444,IndirectCost!B:L,11,FALSE),"")</f>
        <v>6.54</v>
      </c>
      <c r="Q444">
        <f t="shared" si="6"/>
        <v>6.54E-2</v>
      </c>
    </row>
    <row r="445" spans="1:17">
      <c r="A445" t="s">
        <v>1071</v>
      </c>
      <c r="B445" t="s">
        <v>1072</v>
      </c>
      <c r="C445" t="str">
        <f>VLOOKUP(A445,Districts!A:I,9,FALSE)</f>
        <v>North Phoenix Preparatory Academy</v>
      </c>
      <c r="D445" t="str">
        <f>VLOOKUP(A445,Districts!A:P,16,FALSE)</f>
        <v>CZKJMYHESLB6</v>
      </c>
      <c r="E445" t="s">
        <v>528</v>
      </c>
      <c r="F445" s="1">
        <v>45200</v>
      </c>
      <c r="G445" t="s">
        <v>529</v>
      </c>
      <c r="H445" t="s">
        <v>530</v>
      </c>
      <c r="I445" s="59">
        <f>VLOOKUP(A445,'611'!D:F,3,FALSE)</f>
        <v>72280.95</v>
      </c>
      <c r="J445" s="59">
        <f>VLOOKUP(A445,'611'!D:Q,14,FALSE)</f>
        <v>72281.23</v>
      </c>
      <c r="K445" s="59">
        <f>VLOOKUP(A445,'611'!D:Q,14,FALSE)</f>
        <v>72281.23</v>
      </c>
      <c r="O445" t="s">
        <v>531</v>
      </c>
      <c r="P445">
        <f>_xlfn.IFNA(VLOOKUP(A445,IndirectCost!B:L,11,FALSE),"")</f>
        <v>8</v>
      </c>
      <c r="Q445">
        <f t="shared" si="6"/>
        <v>0.08</v>
      </c>
    </row>
    <row r="446" spans="1:17">
      <c r="A446" t="s">
        <v>1073</v>
      </c>
      <c r="B446" t="s">
        <v>1074</v>
      </c>
      <c r="C446" t="str">
        <f>VLOOKUP(A446,Districts!A:I,9,FALSE)</f>
        <v>NORTH STAR CHARTER SCHOOL, INC.</v>
      </c>
      <c r="D446" t="str">
        <f>VLOOKUP(A446,Districts!A:P,16,FALSE)</f>
        <v>P1GGR4LHZLH6</v>
      </c>
      <c r="E446" t="s">
        <v>528</v>
      </c>
      <c r="F446" s="1">
        <v>45200</v>
      </c>
      <c r="G446" t="s">
        <v>529</v>
      </c>
      <c r="H446" t="s">
        <v>530</v>
      </c>
      <c r="I446" s="59">
        <f>VLOOKUP(A446,'611'!D:F,3,FALSE)</f>
        <v>150192.31</v>
      </c>
      <c r="J446" s="59">
        <f>VLOOKUP(A446,'611'!D:Q,14,FALSE)</f>
        <v>273511.46000000002</v>
      </c>
      <c r="K446" s="59">
        <f>VLOOKUP(A446,'611'!D:Q,14,FALSE)</f>
        <v>273511.46000000002</v>
      </c>
      <c r="O446" t="s">
        <v>531</v>
      </c>
      <c r="P446">
        <f>_xlfn.IFNA(VLOOKUP(A446,IndirectCost!B:L,11,FALSE),"")</f>
        <v>8</v>
      </c>
      <c r="Q446">
        <f t="shared" si="6"/>
        <v>0.08</v>
      </c>
    </row>
    <row r="447" spans="1:17">
      <c r="A447" t="s">
        <v>1075</v>
      </c>
      <c r="B447" t="s">
        <v>1076</v>
      </c>
      <c r="C447" t="str">
        <f>VLOOKUP(A447,Districts!A:I,9,FALSE)</f>
        <v>Northland Preparatory Academy</v>
      </c>
      <c r="D447" t="str">
        <f>VLOOKUP(A447,Districts!A:P,16,FALSE)</f>
        <v>NP66LY4NFDF8</v>
      </c>
      <c r="E447" t="s">
        <v>528</v>
      </c>
      <c r="F447" s="1">
        <v>45200</v>
      </c>
      <c r="G447" t="s">
        <v>529</v>
      </c>
      <c r="H447" t="s">
        <v>530</v>
      </c>
      <c r="I447" s="59">
        <f>VLOOKUP(A447,'611'!D:F,3,FALSE)</f>
        <v>88816.85</v>
      </c>
      <c r="J447" s="59">
        <f>VLOOKUP(A447,'611'!D:Q,14,FALSE)</f>
        <v>88816.85</v>
      </c>
      <c r="K447" s="59">
        <f>VLOOKUP(A447,'611'!D:Q,14,FALSE)</f>
        <v>88816.85</v>
      </c>
      <c r="O447" t="s">
        <v>531</v>
      </c>
      <c r="P447" t="str">
        <f>_xlfn.IFNA(VLOOKUP(A447,IndirectCost!B:L,11,FALSE),"")</f>
        <v/>
      </c>
      <c r="Q447">
        <f t="shared" si="6"/>
        <v>0</v>
      </c>
    </row>
    <row r="448" spans="1:17">
      <c r="A448" t="s">
        <v>353</v>
      </c>
      <c r="B448" t="s">
        <v>1077</v>
      </c>
      <c r="C448" t="str">
        <f>VLOOKUP(A448,Districts!A:I,9,FALSE)</f>
        <v>Nosotros, Inc</v>
      </c>
      <c r="D448" t="str">
        <f>VLOOKUP(A448,Districts!A:P,16,FALSE)</f>
        <v>M43KKFAP8KP8</v>
      </c>
      <c r="E448" t="s">
        <v>528</v>
      </c>
      <c r="F448" s="1">
        <v>45200</v>
      </c>
      <c r="G448" t="s">
        <v>529</v>
      </c>
      <c r="H448" t="s">
        <v>530</v>
      </c>
      <c r="I448" s="59">
        <f>VLOOKUP(A448,'611'!D:F,3,FALSE)</f>
        <v>55527.21</v>
      </c>
      <c r="J448" s="59">
        <f>VLOOKUP(A448,'611'!D:Q,14,FALSE)</f>
        <v>55527.21</v>
      </c>
      <c r="K448" s="59">
        <f>VLOOKUP(A448,'611'!D:Q,14,FALSE)</f>
        <v>55527.21</v>
      </c>
      <c r="O448" t="s">
        <v>531</v>
      </c>
      <c r="P448" t="str">
        <f>_xlfn.IFNA(VLOOKUP(A448,IndirectCost!B:L,11,FALSE),"")</f>
        <v/>
      </c>
      <c r="Q448">
        <f t="shared" si="6"/>
        <v>0</v>
      </c>
    </row>
    <row r="449" spans="1:17">
      <c r="A449" t="s">
        <v>354</v>
      </c>
      <c r="B449" t="s">
        <v>1078</v>
      </c>
      <c r="C449" t="str">
        <f>VLOOKUP(A449,Districts!A:I,9,FALSE)</f>
        <v>Omega Alpha Academy</v>
      </c>
      <c r="D449" t="str">
        <f>VLOOKUP(A449,Districts!A:P,16,FALSE)</f>
        <v>L2RJRMB8LBK3</v>
      </c>
      <c r="E449" t="s">
        <v>528</v>
      </c>
      <c r="F449" s="1">
        <v>45200</v>
      </c>
      <c r="G449" t="s">
        <v>529</v>
      </c>
      <c r="H449" t="s">
        <v>530</v>
      </c>
      <c r="I449" s="59">
        <f>VLOOKUP(A449,'611'!D:F,3,FALSE)</f>
        <v>54981.04</v>
      </c>
      <c r="J449" s="59">
        <f>VLOOKUP(A449,'611'!D:Q,14,FALSE)</f>
        <v>77908.72</v>
      </c>
      <c r="K449" s="59">
        <f>VLOOKUP(A449,'611'!D:Q,14,FALSE)</f>
        <v>77908.72</v>
      </c>
      <c r="O449" t="s">
        <v>531</v>
      </c>
      <c r="P449">
        <f>_xlfn.IFNA(VLOOKUP(A449,IndirectCost!B:L,11,FALSE),"")</f>
        <v>8</v>
      </c>
      <c r="Q449">
        <f t="shared" si="6"/>
        <v>0.08</v>
      </c>
    </row>
    <row r="450" spans="1:17">
      <c r="A450" t="s">
        <v>1079</v>
      </c>
      <c r="B450" t="s">
        <v>1080</v>
      </c>
      <c r="C450" t="str">
        <f>VLOOKUP(A450,Districts!A:I,9,FALSE)</f>
        <v>Online School of Arizona</v>
      </c>
      <c r="D450" t="str">
        <f>VLOOKUP(A450,Districts!A:P,16,FALSE)</f>
        <v>ZPBLSU3CVG57</v>
      </c>
      <c r="E450" t="s">
        <v>528</v>
      </c>
      <c r="F450" s="1">
        <v>45200</v>
      </c>
      <c r="G450" t="s">
        <v>529</v>
      </c>
      <c r="H450" t="s">
        <v>530</v>
      </c>
      <c r="I450" s="59">
        <f>VLOOKUP(A450,'611'!D:F,3,FALSE)</f>
        <v>6904.08</v>
      </c>
      <c r="J450" s="59">
        <f>VLOOKUP(A450,'611'!D:Q,14,FALSE)</f>
        <v>17156.150000000001</v>
      </c>
      <c r="K450" s="59">
        <f>VLOOKUP(A450,'611'!D:Q,14,FALSE)</f>
        <v>17156.150000000001</v>
      </c>
      <c r="O450" t="s">
        <v>531</v>
      </c>
      <c r="P450" t="str">
        <f>_xlfn.IFNA(VLOOKUP(A450,IndirectCost!B:L,11,FALSE),"")</f>
        <v/>
      </c>
      <c r="Q450">
        <f t="shared" si="6"/>
        <v>0</v>
      </c>
    </row>
    <row r="451" spans="1:17">
      <c r="A451" t="s">
        <v>355</v>
      </c>
      <c r="B451" t="s">
        <v>1081</v>
      </c>
      <c r="C451" t="str">
        <f>VLOOKUP(A451,Districts!A:I,9,FALSE)</f>
        <v>Oracle School District</v>
      </c>
      <c r="D451" t="str">
        <f>VLOOKUP(A451,Districts!A:P,16,FALSE)</f>
        <v>HH8BXN95P4V4</v>
      </c>
      <c r="E451" t="s">
        <v>528</v>
      </c>
      <c r="F451" s="1">
        <v>45200</v>
      </c>
      <c r="G451" t="s">
        <v>529</v>
      </c>
      <c r="H451" t="s">
        <v>530</v>
      </c>
      <c r="I451" s="59">
        <f>VLOOKUP(A451,'611'!D:F,3,FALSE)</f>
        <v>141198.6</v>
      </c>
      <c r="J451" s="59">
        <f>VLOOKUP(A451,'611'!D:Q,14,FALSE)</f>
        <v>176577.53</v>
      </c>
      <c r="K451" s="59">
        <f>VLOOKUP(A451,'611'!D:Q,14,FALSE)</f>
        <v>176577.53</v>
      </c>
      <c r="O451" t="s">
        <v>531</v>
      </c>
      <c r="P451" t="str">
        <f>_xlfn.IFNA(VLOOKUP(A451,IndirectCost!B:L,11,FALSE),"")</f>
        <v/>
      </c>
      <c r="Q451">
        <f t="shared" si="6"/>
        <v>0</v>
      </c>
    </row>
    <row r="452" spans="1:17">
      <c r="A452" t="s">
        <v>356</v>
      </c>
      <c r="B452" t="s">
        <v>1082</v>
      </c>
      <c r="C452" t="str">
        <f>VLOOKUP(A452,Districts!A:I,9,FALSE)</f>
        <v>County of Maricopa Osborn School District #8 DBA Osboen Middle School</v>
      </c>
      <c r="D452" t="str">
        <f>VLOOKUP(A452,Districts!A:P,16,FALSE)</f>
        <v>EGL2NK34UR78</v>
      </c>
      <c r="E452" t="s">
        <v>528</v>
      </c>
      <c r="F452" s="1">
        <v>45200</v>
      </c>
      <c r="G452" t="s">
        <v>529</v>
      </c>
      <c r="H452" t="s">
        <v>530</v>
      </c>
      <c r="I452" s="59">
        <f>VLOOKUP(A452,'611'!D:F,3,FALSE)</f>
        <v>779902.57</v>
      </c>
      <c r="J452" s="59">
        <f>VLOOKUP(A452,'611'!D:Q,14,FALSE)</f>
        <v>1010880.34</v>
      </c>
      <c r="K452" s="59">
        <f>VLOOKUP(A452,'611'!D:Q,14,FALSE)</f>
        <v>1010880.34</v>
      </c>
      <c r="O452" t="s">
        <v>531</v>
      </c>
      <c r="P452">
        <f>_xlfn.IFNA(VLOOKUP(A452,IndirectCost!B:L,11,FALSE),"")</f>
        <v>8</v>
      </c>
      <c r="Q452">
        <f t="shared" ref="Q452:Q515" si="7">IFERROR(P452/100,0)</f>
        <v>0.08</v>
      </c>
    </row>
    <row r="453" spans="1:17">
      <c r="A453" t="s">
        <v>357</v>
      </c>
      <c r="B453" t="s">
        <v>1083</v>
      </c>
      <c r="C453" t="str">
        <f>VLOOKUP(A453,Districts!A:I,9,FALSE)</f>
        <v>OWENS-WHITNEY SCHOOL DISTRICT 6 BOARD OF TRUSTEES</v>
      </c>
      <c r="D453" t="str">
        <f>VLOOKUP(A453,Districts!A:P,16,FALSE)</f>
        <v>KAXCELTPCE11</v>
      </c>
      <c r="E453" t="s">
        <v>528</v>
      </c>
      <c r="F453" s="1">
        <v>45200</v>
      </c>
      <c r="G453" t="s">
        <v>529</v>
      </c>
      <c r="H453" t="s">
        <v>530</v>
      </c>
      <c r="I453" s="59">
        <f>VLOOKUP(A453,'611'!D:F,3,FALSE)</f>
        <v>7503</v>
      </c>
      <c r="J453" s="59">
        <f>VLOOKUP(A453,'611'!D:Q,14,FALSE)</f>
        <v>7904.45</v>
      </c>
      <c r="K453" s="59">
        <f>VLOOKUP(A453,'611'!D:Q,14,FALSE)</f>
        <v>7904.45</v>
      </c>
      <c r="O453" t="s">
        <v>531</v>
      </c>
      <c r="P453" t="str">
        <f>_xlfn.IFNA(VLOOKUP(A453,IndirectCost!B:L,11,FALSE),"")</f>
        <v/>
      </c>
      <c r="Q453">
        <f t="shared" si="7"/>
        <v>0</v>
      </c>
    </row>
    <row r="454" spans="1:17">
      <c r="A454" t="s">
        <v>358</v>
      </c>
      <c r="B454" t="s">
        <v>1084</v>
      </c>
      <c r="C454" t="str">
        <f>VLOOKUP(A454,Districts!A:I,9,FALSE)</f>
        <v>P.L.C. Charter Schools</v>
      </c>
      <c r="D454" t="str">
        <f>VLOOKUP(A454,Districts!A:P,16,FALSE)</f>
        <v>CK6BAYAKB9V7</v>
      </c>
      <c r="E454" t="s">
        <v>528</v>
      </c>
      <c r="F454" s="1">
        <v>45200</v>
      </c>
      <c r="G454" t="s">
        <v>529</v>
      </c>
      <c r="H454" t="s">
        <v>530</v>
      </c>
      <c r="I454" s="59">
        <f>VLOOKUP(A454,'611'!D:F,3,FALSE)</f>
        <v>141512.54999999999</v>
      </c>
      <c r="J454" s="59">
        <f>VLOOKUP(A454,'611'!D:Q,14,FALSE)</f>
        <v>142105.96</v>
      </c>
      <c r="K454" s="59">
        <f>VLOOKUP(A454,'611'!D:Q,14,FALSE)</f>
        <v>142105.96</v>
      </c>
      <c r="O454" t="s">
        <v>531</v>
      </c>
      <c r="P454" t="str">
        <f>_xlfn.IFNA(VLOOKUP(A454,IndirectCost!B:L,11,FALSE),"")</f>
        <v/>
      </c>
      <c r="Q454">
        <f t="shared" si="7"/>
        <v>0</v>
      </c>
    </row>
    <row r="455" spans="1:17">
      <c r="A455" t="s">
        <v>1085</v>
      </c>
      <c r="B455" t="s">
        <v>1086</v>
      </c>
      <c r="C455" t="str">
        <f>VLOOKUP(A455,Districts!A:I,9,FALSE)</f>
        <v>Pace Preparatory Academy</v>
      </c>
      <c r="D455" t="str">
        <f>VLOOKUP(A455,Districts!A:P,16,FALSE)</f>
        <v>UBZFQEJ8T8M4</v>
      </c>
      <c r="E455" t="s">
        <v>528</v>
      </c>
      <c r="F455" s="1">
        <v>45200</v>
      </c>
      <c r="G455" t="s">
        <v>529</v>
      </c>
      <c r="H455" t="s">
        <v>530</v>
      </c>
      <c r="I455" s="59">
        <f>VLOOKUP(A455,'611'!D:F,3,FALSE)</f>
        <v>15493.5</v>
      </c>
      <c r="J455" s="59">
        <f>VLOOKUP(A455,'611'!D:Q,14,FALSE)</f>
        <v>21148.77</v>
      </c>
      <c r="K455" s="59">
        <f>VLOOKUP(A455,'611'!D:Q,14,FALSE)</f>
        <v>21148.77</v>
      </c>
      <c r="O455" t="s">
        <v>531</v>
      </c>
      <c r="P455" t="str">
        <f>_xlfn.IFNA(VLOOKUP(A455,IndirectCost!B:L,11,FALSE),"")</f>
        <v/>
      </c>
      <c r="Q455">
        <f t="shared" si="7"/>
        <v>0</v>
      </c>
    </row>
    <row r="456" spans="1:17">
      <c r="A456" t="s">
        <v>359</v>
      </c>
      <c r="B456" t="s">
        <v>1087</v>
      </c>
      <c r="C456" t="str">
        <f>VLOOKUP(A456,Districts!A:I,9,FALSE)</f>
        <v>Page Unified School District #8</v>
      </c>
      <c r="D456" t="str">
        <f>VLOOKUP(A456,Districts!A:P,16,FALSE)</f>
        <v>RH8XDJN8Z7M6</v>
      </c>
      <c r="E456" t="s">
        <v>528</v>
      </c>
      <c r="F456" s="1">
        <v>45200</v>
      </c>
      <c r="G456" t="s">
        <v>529</v>
      </c>
      <c r="H456" t="s">
        <v>530</v>
      </c>
      <c r="I456" s="59">
        <f>VLOOKUP(A456,'611'!D:F,3,FALSE)</f>
        <v>643397.06999999995</v>
      </c>
      <c r="J456" s="59">
        <f>VLOOKUP(A456,'611'!D:Q,14,FALSE)</f>
        <v>707936.76</v>
      </c>
      <c r="K456" s="59">
        <f>VLOOKUP(A456,'611'!D:Q,14,FALSE)</f>
        <v>707936.76</v>
      </c>
      <c r="O456" t="s">
        <v>531</v>
      </c>
      <c r="P456">
        <f>_xlfn.IFNA(VLOOKUP(A456,IndirectCost!B:L,11,FALSE),"")</f>
        <v>4.95</v>
      </c>
      <c r="Q456">
        <f t="shared" si="7"/>
        <v>4.9500000000000002E-2</v>
      </c>
    </row>
    <row r="457" spans="1:17">
      <c r="A457" t="s">
        <v>360</v>
      </c>
      <c r="B457" t="s">
        <v>1088</v>
      </c>
      <c r="C457" t="str">
        <f>VLOOKUP(A457,Districts!A:I,9,FALSE)</f>
        <v>Painted Desert Demonstration Projects, Inc.</v>
      </c>
      <c r="D457" t="str">
        <f>VLOOKUP(A457,Districts!A:P,16,FALSE)</f>
        <v>MU15YNJ2WNE5</v>
      </c>
      <c r="E457" t="s">
        <v>528</v>
      </c>
      <c r="F457" s="1">
        <v>45200</v>
      </c>
      <c r="G457" t="s">
        <v>529</v>
      </c>
      <c r="H457" t="s">
        <v>530</v>
      </c>
      <c r="I457" s="59">
        <f>VLOOKUP(A457,'611'!D:F,3,FALSE)</f>
        <v>19749.189999999999</v>
      </c>
      <c r="J457" s="59">
        <f>VLOOKUP(A457,'611'!D:Q,14,FALSE)</f>
        <v>19749.189999999999</v>
      </c>
      <c r="K457" s="59">
        <f>VLOOKUP(A457,'611'!D:Q,14,FALSE)</f>
        <v>19749.189999999999</v>
      </c>
      <c r="O457" t="s">
        <v>531</v>
      </c>
      <c r="P457">
        <f>_xlfn.IFNA(VLOOKUP(A457,IndirectCost!B:L,11,FALSE),"")</f>
        <v>0</v>
      </c>
      <c r="Q457">
        <f t="shared" si="7"/>
        <v>0</v>
      </c>
    </row>
    <row r="458" spans="1:17">
      <c r="A458" t="s">
        <v>361</v>
      </c>
      <c r="B458" t="s">
        <v>1089</v>
      </c>
      <c r="C458" t="str">
        <f>VLOOKUP(A458,Districts!A:I,9,FALSE)</f>
        <v>Painted Pony Ranch Charter School</v>
      </c>
      <c r="D458" t="str">
        <f>VLOOKUP(A458,Districts!A:P,16,FALSE)</f>
        <v>DANEBVAQV9B8</v>
      </c>
      <c r="E458" t="s">
        <v>528</v>
      </c>
      <c r="F458" s="1">
        <v>45200</v>
      </c>
      <c r="G458" t="s">
        <v>529</v>
      </c>
      <c r="H458" t="s">
        <v>530</v>
      </c>
      <c r="I458" s="59">
        <f>VLOOKUP(A458,'611'!D:F,3,FALSE)</f>
        <v>13542.96</v>
      </c>
      <c r="J458" s="59">
        <f>VLOOKUP(A458,'611'!D:Q,14,FALSE)</f>
        <v>13542.96</v>
      </c>
      <c r="K458" s="59">
        <f>VLOOKUP(A458,'611'!D:Q,14,FALSE)</f>
        <v>13542.96</v>
      </c>
      <c r="O458" t="s">
        <v>531</v>
      </c>
      <c r="P458" t="str">
        <f>_xlfn.IFNA(VLOOKUP(A458,IndirectCost!B:L,11,FALSE),"")</f>
        <v/>
      </c>
      <c r="Q458">
        <f t="shared" si="7"/>
        <v>0</v>
      </c>
    </row>
    <row r="459" spans="1:17">
      <c r="A459" t="s">
        <v>362</v>
      </c>
      <c r="B459" t="s">
        <v>1090</v>
      </c>
      <c r="C459" t="str">
        <f>VLOOKUP(A459,Districts!A:I,9,FALSE)</f>
        <v>Palo Verde Elementary School</v>
      </c>
      <c r="D459" t="str">
        <f>VLOOKUP(A459,Districts!A:P,16,FALSE)</f>
        <v>NEKQDYH9JHN3</v>
      </c>
      <c r="E459" t="s">
        <v>528</v>
      </c>
      <c r="F459" s="1">
        <v>45200</v>
      </c>
      <c r="G459" t="s">
        <v>529</v>
      </c>
      <c r="H459" t="s">
        <v>530</v>
      </c>
      <c r="I459" s="59">
        <f>VLOOKUP(A459,'611'!D:F,3,FALSE)</f>
        <v>84744.42</v>
      </c>
      <c r="J459" s="59">
        <f>VLOOKUP(A459,'611'!D:Q,14,FALSE)</f>
        <v>91105.18</v>
      </c>
      <c r="K459" s="59">
        <f>VLOOKUP(A459,'611'!D:Q,14,FALSE)</f>
        <v>91105.18</v>
      </c>
      <c r="O459" t="s">
        <v>531</v>
      </c>
      <c r="P459">
        <f>_xlfn.IFNA(VLOOKUP(A459,IndirectCost!B:L,11,FALSE),"")</f>
        <v>7</v>
      </c>
      <c r="Q459">
        <f t="shared" si="7"/>
        <v>7.0000000000000007E-2</v>
      </c>
    </row>
    <row r="460" spans="1:17">
      <c r="A460" t="s">
        <v>363</v>
      </c>
      <c r="B460" t="s">
        <v>1091</v>
      </c>
      <c r="C460" t="str">
        <f>VLOOKUP(A460,Districts!A:I,9,FALSE)</f>
        <v>Paloma Elementary School District 94</v>
      </c>
      <c r="D460" t="str">
        <f>VLOOKUP(A460,Districts!A:P,16,FALSE)</f>
        <v>M5X3QCZV4V61</v>
      </c>
      <c r="E460" t="s">
        <v>528</v>
      </c>
      <c r="F460" s="1">
        <v>45200</v>
      </c>
      <c r="G460" t="s">
        <v>529</v>
      </c>
      <c r="H460" t="s">
        <v>530</v>
      </c>
      <c r="I460" s="59">
        <f>VLOOKUP(A460,'611'!D:F,3,FALSE)</f>
        <v>22316.78</v>
      </c>
      <c r="J460" s="59">
        <f>VLOOKUP(A460,'611'!D:Q,14,FALSE)</f>
        <v>23510.42</v>
      </c>
      <c r="K460" s="59">
        <f>VLOOKUP(A460,'611'!D:Q,14,FALSE)</f>
        <v>23510.42</v>
      </c>
      <c r="O460" t="s">
        <v>531</v>
      </c>
      <c r="P460">
        <f>_xlfn.IFNA(VLOOKUP(A460,IndirectCost!B:L,11,FALSE),"")</f>
        <v>8</v>
      </c>
      <c r="Q460">
        <f t="shared" si="7"/>
        <v>0.08</v>
      </c>
    </row>
    <row r="461" spans="1:17">
      <c r="A461" t="s">
        <v>364</v>
      </c>
      <c r="B461" t="s">
        <v>1092</v>
      </c>
      <c r="C461" t="str">
        <f>VLOOKUP(A461,Districts!A:I,9,FALSE)</f>
        <v>Palominas Elementary School District 49</v>
      </c>
      <c r="D461" t="str">
        <f>VLOOKUP(A461,Districts!A:P,16,FALSE)</f>
        <v>QCS5GN9NC2B7</v>
      </c>
      <c r="E461" t="s">
        <v>528</v>
      </c>
      <c r="F461" s="1">
        <v>45200</v>
      </c>
      <c r="G461" t="s">
        <v>529</v>
      </c>
      <c r="H461" t="s">
        <v>530</v>
      </c>
      <c r="I461" s="59">
        <f>VLOOKUP(A461,'611'!D:F,3,FALSE)</f>
        <v>249698.29</v>
      </c>
      <c r="J461" s="59">
        <f>VLOOKUP(A461,'611'!D:Q,14,FALSE)</f>
        <v>277347.63</v>
      </c>
      <c r="K461" s="59">
        <f>VLOOKUP(A461,'611'!D:Q,14,FALSE)</f>
        <v>277347.63</v>
      </c>
      <c r="O461" t="s">
        <v>531</v>
      </c>
      <c r="P461">
        <f>_xlfn.IFNA(VLOOKUP(A461,IndirectCost!B:L,11,FALSE),"")</f>
        <v>5.45</v>
      </c>
      <c r="Q461">
        <f t="shared" si="7"/>
        <v>5.45E-2</v>
      </c>
    </row>
    <row r="462" spans="1:17">
      <c r="A462" t="s">
        <v>365</v>
      </c>
      <c r="B462" t="s">
        <v>1093</v>
      </c>
      <c r="C462" t="str">
        <f>VLOOKUP(A462,Districts!A:I,9,FALSE)</f>
        <v>PAN-AMERICAN ELEMENTARY CHARTER SCHOOL</v>
      </c>
      <c r="D462" t="str">
        <f>VLOOKUP(A462,Districts!A:P,16,FALSE)</f>
        <v>TDW9U3NH3V57</v>
      </c>
      <c r="E462" t="s">
        <v>528</v>
      </c>
      <c r="F462" s="1">
        <v>45200</v>
      </c>
      <c r="G462" t="s">
        <v>529</v>
      </c>
      <c r="H462" t="s">
        <v>530</v>
      </c>
      <c r="I462" s="59">
        <f>VLOOKUP(A462,'611'!D:F,3,FALSE)</f>
        <v>196589.37</v>
      </c>
      <c r="J462" s="59">
        <f>VLOOKUP(A462,'611'!D:Q,14,FALSE)</f>
        <v>196589.37</v>
      </c>
      <c r="K462" s="59">
        <f>VLOOKUP(A462,'611'!D:Q,14,FALSE)</f>
        <v>196589.37</v>
      </c>
      <c r="O462" t="s">
        <v>531</v>
      </c>
      <c r="P462" t="str">
        <f>_xlfn.IFNA(VLOOKUP(A462,IndirectCost!B:L,11,FALSE),"")</f>
        <v/>
      </c>
      <c r="Q462">
        <f t="shared" si="7"/>
        <v>0</v>
      </c>
    </row>
    <row r="463" spans="1:17">
      <c r="A463" t="s">
        <v>366</v>
      </c>
      <c r="B463" t="s">
        <v>1094</v>
      </c>
      <c r="C463" t="str">
        <f>VLOOKUP(A463,Districts!A:I,9,FALSE)</f>
        <v>Paradise Valley Unified School District 69</v>
      </c>
      <c r="D463" t="str">
        <f>VLOOKUP(A463,Districts!A:P,16,FALSE)</f>
        <v>LR62YBRKL6N3</v>
      </c>
      <c r="E463" t="s">
        <v>528</v>
      </c>
      <c r="F463" s="1">
        <v>45200</v>
      </c>
      <c r="G463" t="s">
        <v>529</v>
      </c>
      <c r="H463" t="s">
        <v>530</v>
      </c>
      <c r="I463" s="59">
        <f>VLOOKUP(A463,'611'!D:F,3,FALSE)</f>
        <v>5927940.9400000004</v>
      </c>
      <c r="J463" s="59">
        <f>VLOOKUP(A463,'611'!D:Q,14,FALSE)</f>
        <v>7127911.0700000003</v>
      </c>
      <c r="K463" s="59">
        <f>VLOOKUP(A463,'611'!D:Q,14,FALSE)</f>
        <v>7127911.0700000003</v>
      </c>
      <c r="O463" t="s">
        <v>531</v>
      </c>
      <c r="P463">
        <f>_xlfn.IFNA(VLOOKUP(A463,IndirectCost!B:L,11,FALSE),"")</f>
        <v>8</v>
      </c>
      <c r="Q463">
        <f t="shared" si="7"/>
        <v>0.08</v>
      </c>
    </row>
    <row r="464" spans="1:17">
      <c r="A464" t="s">
        <v>367</v>
      </c>
      <c r="B464" t="s">
        <v>1095</v>
      </c>
      <c r="C464" t="str">
        <f>VLOOKUP(A464,Districts!A:I,9,FALSE)</f>
        <v>Paragon Management Center</v>
      </c>
      <c r="D464" t="str">
        <f>VLOOKUP(A464,Districts!A:P,16,FALSE)</f>
        <v>F7DFZ73J3288</v>
      </c>
      <c r="E464" t="s">
        <v>528</v>
      </c>
      <c r="F464" s="1">
        <v>45200</v>
      </c>
      <c r="G464" t="s">
        <v>529</v>
      </c>
      <c r="H464" t="s">
        <v>530</v>
      </c>
      <c r="I464" s="59">
        <f>VLOOKUP(A464,'611'!D:F,3,FALSE)</f>
        <v>407031.91</v>
      </c>
      <c r="J464" s="59">
        <f>VLOOKUP(A464,'611'!D:Q,14,FALSE)</f>
        <v>407031.91</v>
      </c>
      <c r="K464" s="59">
        <f>VLOOKUP(A464,'611'!D:Q,14,FALSE)</f>
        <v>407031.91</v>
      </c>
      <c r="O464" t="s">
        <v>531</v>
      </c>
      <c r="P464" t="str">
        <f>_xlfn.IFNA(VLOOKUP(A464,IndirectCost!B:L,11,FALSE),"")</f>
        <v/>
      </c>
      <c r="Q464">
        <f t="shared" si="7"/>
        <v>0</v>
      </c>
    </row>
    <row r="465" spans="1:17">
      <c r="A465" t="s">
        <v>368</v>
      </c>
      <c r="B465" t="s">
        <v>1096</v>
      </c>
      <c r="C465" t="str">
        <f>VLOOKUP(A465,Districts!A:I,9,FALSE)</f>
        <v>Parker Unified School District 27</v>
      </c>
      <c r="D465" t="str">
        <f>VLOOKUP(A465,Districts!A:P,16,FALSE)</f>
        <v>JEJHL5KYCMT5</v>
      </c>
      <c r="E465" t="s">
        <v>528</v>
      </c>
      <c r="F465" s="1">
        <v>45200</v>
      </c>
      <c r="G465" t="s">
        <v>529</v>
      </c>
      <c r="H465" t="s">
        <v>530</v>
      </c>
      <c r="I465" s="59">
        <f>VLOOKUP(A465,'611'!D:F,3,FALSE)</f>
        <v>435371.98</v>
      </c>
      <c r="J465" s="59">
        <f>VLOOKUP(A465,'611'!D:Q,14,FALSE)</f>
        <v>617817.93999999994</v>
      </c>
      <c r="K465" s="59">
        <f>VLOOKUP(A465,'611'!D:Q,14,FALSE)</f>
        <v>617817.93999999994</v>
      </c>
      <c r="O465" t="s">
        <v>531</v>
      </c>
      <c r="P465">
        <f>_xlfn.IFNA(VLOOKUP(A465,IndirectCost!B:L,11,FALSE),"")</f>
        <v>8</v>
      </c>
      <c r="Q465">
        <f t="shared" si="7"/>
        <v>0.08</v>
      </c>
    </row>
    <row r="466" spans="1:17">
      <c r="A466" t="s">
        <v>1097</v>
      </c>
      <c r="B466" t="s">
        <v>1098</v>
      </c>
      <c r="C466" t="str">
        <f>VLOOKUP(A466,Districts!A:I,9,FALSE)</f>
        <v>PAS Charter Inc.</v>
      </c>
      <c r="D466" t="str">
        <f>VLOOKUP(A466,Districts!A:P,16,FALSE)</f>
        <v>J7WFBRT1PEA6</v>
      </c>
      <c r="E466" t="s">
        <v>528</v>
      </c>
      <c r="F466" s="1">
        <v>45200</v>
      </c>
      <c r="G466" t="s">
        <v>529</v>
      </c>
      <c r="H466" t="s">
        <v>530</v>
      </c>
      <c r="I466" s="59">
        <f>VLOOKUP(A466,'611'!D:F,3,FALSE)</f>
        <v>23821.78</v>
      </c>
      <c r="J466" s="59">
        <f>VLOOKUP(A466,'611'!D:Q,14,FALSE)</f>
        <v>23821.78</v>
      </c>
      <c r="K466" s="59">
        <f>VLOOKUP(A466,'611'!D:Q,14,FALSE)</f>
        <v>23821.78</v>
      </c>
      <c r="O466" t="s">
        <v>531</v>
      </c>
      <c r="P466" t="str">
        <f>_xlfn.IFNA(VLOOKUP(A466,IndirectCost!B:L,11,FALSE),"")</f>
        <v/>
      </c>
      <c r="Q466">
        <f t="shared" si="7"/>
        <v>0</v>
      </c>
    </row>
    <row r="467" spans="1:17">
      <c r="A467" t="s">
        <v>369</v>
      </c>
      <c r="B467" t="s">
        <v>1099</v>
      </c>
      <c r="C467" t="str">
        <f>VLOOKUP(A467,Districts!A:I,9,FALSE)</f>
        <v>Patagonia Elementary School</v>
      </c>
      <c r="D467" t="str">
        <f>VLOOKUP(A467,Districts!A:P,16,FALSE)</f>
        <v>RJJNUVCG99J5</v>
      </c>
      <c r="E467" t="s">
        <v>528</v>
      </c>
      <c r="F467" s="1">
        <v>45200</v>
      </c>
      <c r="G467" t="s">
        <v>529</v>
      </c>
      <c r="H467" t="s">
        <v>530</v>
      </c>
      <c r="I467" s="59">
        <f>VLOOKUP(A467,'611'!D:F,3,FALSE)</f>
        <v>27468.09</v>
      </c>
      <c r="J467" s="59">
        <f>VLOOKUP(A467,'611'!D:Q,14,FALSE)</f>
        <v>48313.06</v>
      </c>
      <c r="K467" s="59">
        <f>VLOOKUP(A467,'611'!D:Q,14,FALSE)</f>
        <v>48313.06</v>
      </c>
      <c r="O467" t="s">
        <v>531</v>
      </c>
      <c r="P467">
        <f>_xlfn.IFNA(VLOOKUP(A467,IndirectCost!B:L,11,FALSE),"")</f>
        <v>8</v>
      </c>
      <c r="Q467">
        <f t="shared" si="7"/>
        <v>0.08</v>
      </c>
    </row>
    <row r="468" spans="1:17">
      <c r="A468" t="s">
        <v>370</v>
      </c>
      <c r="B468" t="s">
        <v>1100</v>
      </c>
      <c r="C468" t="str">
        <f>VLOOKUP(A468,Districts!A:I,9,FALSE)</f>
        <v>Patagonia Montessori Elementary School, Inc.</v>
      </c>
      <c r="D468" t="str">
        <f>VLOOKUP(A468,Districts!A:P,16,FALSE)</f>
        <v>XWYNH7R9MU23</v>
      </c>
      <c r="E468" t="s">
        <v>528</v>
      </c>
      <c r="F468" s="1">
        <v>45200</v>
      </c>
      <c r="G468" t="s">
        <v>529</v>
      </c>
      <c r="H468" t="s">
        <v>530</v>
      </c>
      <c r="I468" s="59">
        <f>VLOOKUP(A468,'611'!D:F,3,FALSE)</f>
        <v>4984.75</v>
      </c>
      <c r="J468" s="59">
        <f>VLOOKUP(A468,'611'!D:Q,14,FALSE)</f>
        <v>11572.95</v>
      </c>
      <c r="K468" s="59">
        <f>VLOOKUP(A468,'611'!D:Q,14,FALSE)</f>
        <v>11572.95</v>
      </c>
      <c r="O468" t="s">
        <v>531</v>
      </c>
      <c r="P468" t="str">
        <f>_xlfn.IFNA(VLOOKUP(A468,IndirectCost!B:L,11,FALSE),"")</f>
        <v/>
      </c>
      <c r="Q468">
        <f t="shared" si="7"/>
        <v>0</v>
      </c>
    </row>
    <row r="469" spans="1:17">
      <c r="A469" t="s">
        <v>1101</v>
      </c>
      <c r="B469" t="s">
        <v>1102</v>
      </c>
      <c r="C469" t="str">
        <f>VLOOKUP(A469,Districts!A:I,9,FALSE)</f>
        <v>Patagonia Union High School District</v>
      </c>
      <c r="D469" t="str">
        <f>VLOOKUP(A469,Districts!A:P,16,FALSE)</f>
        <v>XMLKUTQN1T76</v>
      </c>
      <c r="E469" t="s">
        <v>528</v>
      </c>
      <c r="F469" s="1">
        <v>45200</v>
      </c>
      <c r="G469" t="s">
        <v>529</v>
      </c>
      <c r="H469" t="s">
        <v>530</v>
      </c>
      <c r="I469" s="59">
        <f>VLOOKUP(A469,'611'!D:F,3,FALSE)</f>
        <v>14734.75</v>
      </c>
      <c r="J469" s="59">
        <f>VLOOKUP(A469,'611'!D:Q,14,FALSE)</f>
        <v>17346.009999999998</v>
      </c>
      <c r="K469" s="59">
        <f>VLOOKUP(A469,'611'!D:Q,14,FALSE)</f>
        <v>17346.009999999998</v>
      </c>
      <c r="O469" t="s">
        <v>531</v>
      </c>
      <c r="P469">
        <f>_xlfn.IFNA(VLOOKUP(A469,IndirectCost!B:L,11,FALSE),"")</f>
        <v>8</v>
      </c>
      <c r="Q469">
        <f t="shared" si="7"/>
        <v>0.08</v>
      </c>
    </row>
    <row r="470" spans="1:17">
      <c r="A470" t="s">
        <v>371</v>
      </c>
      <c r="B470" t="s">
        <v>1103</v>
      </c>
      <c r="C470" t="str">
        <f>VLOOKUP(A470,Districts!A:I,9,FALSE)</f>
        <v>Pathfinder Charter School Foundation</v>
      </c>
      <c r="D470" t="str">
        <f>VLOOKUP(A470,Districts!A:P,16,FALSE)</f>
        <v>NKH6LLALGJG5</v>
      </c>
      <c r="E470" t="s">
        <v>528</v>
      </c>
      <c r="F470" s="1">
        <v>45200</v>
      </c>
      <c r="G470" t="s">
        <v>529</v>
      </c>
      <c r="H470" t="s">
        <v>530</v>
      </c>
      <c r="I470" s="59">
        <f>VLOOKUP(A470,'611'!D:F,3,FALSE)</f>
        <v>100213.77</v>
      </c>
      <c r="J470" s="59">
        <f>VLOOKUP(A470,'611'!D:Q,14,FALSE)</f>
        <v>100213.77</v>
      </c>
      <c r="K470" s="59">
        <f>VLOOKUP(A470,'611'!D:Q,14,FALSE)</f>
        <v>100213.77</v>
      </c>
      <c r="O470" t="s">
        <v>531</v>
      </c>
      <c r="P470" t="str">
        <f>_xlfn.IFNA(VLOOKUP(A470,IndirectCost!B:L,11,FALSE),"")</f>
        <v/>
      </c>
      <c r="Q470">
        <f t="shared" si="7"/>
        <v>0</v>
      </c>
    </row>
    <row r="471" spans="1:17">
      <c r="A471" t="s">
        <v>1104</v>
      </c>
      <c r="B471" t="s">
        <v>1105</v>
      </c>
      <c r="C471" t="str">
        <f>VLOOKUP(A471,Districts!A:I,9,FALSE)</f>
        <v>PATHWAYS IN EDUCATION - ARIZONA, INC</v>
      </c>
      <c r="D471" t="str">
        <f>VLOOKUP(A471,Districts!A:P,16,FALSE)</f>
        <v>LZL4QGEVEJV7</v>
      </c>
      <c r="E471" t="s">
        <v>528</v>
      </c>
      <c r="F471" s="1">
        <v>45200</v>
      </c>
      <c r="G471" t="s">
        <v>529</v>
      </c>
      <c r="H471" t="s">
        <v>530</v>
      </c>
      <c r="I471" s="59">
        <f>VLOOKUP(A471,'611'!D:F,3,FALSE)</f>
        <v>23549.55</v>
      </c>
      <c r="J471" s="59">
        <f>VLOOKUP(A471,'611'!D:Q,14,FALSE)</f>
        <v>0</v>
      </c>
      <c r="K471" s="59">
        <f>VLOOKUP(A471,'611'!D:Q,14,FALSE)</f>
        <v>0</v>
      </c>
      <c r="O471" t="s">
        <v>531</v>
      </c>
      <c r="P471" t="str">
        <f>_xlfn.IFNA(VLOOKUP(A471,IndirectCost!B:L,11,FALSE),"")</f>
        <v/>
      </c>
      <c r="Q471">
        <f t="shared" si="7"/>
        <v>0</v>
      </c>
    </row>
    <row r="472" spans="1:17">
      <c r="A472" t="s">
        <v>1106</v>
      </c>
      <c r="B472" t="s">
        <v>1107</v>
      </c>
      <c r="C472" t="str">
        <f>VLOOKUP(A472,Districts!A:I,9,FALSE)</f>
        <v>Paul Revere Academy, Inc.</v>
      </c>
      <c r="D472">
        <f>VLOOKUP(A472,Districts!A:P,16,FALSE)</f>
        <v>0</v>
      </c>
      <c r="E472" t="s">
        <v>528</v>
      </c>
      <c r="F472" s="1">
        <v>45200</v>
      </c>
      <c r="G472" t="s">
        <v>529</v>
      </c>
      <c r="H472" t="s">
        <v>530</v>
      </c>
      <c r="I472" s="59">
        <f>VLOOKUP(A472,'611'!D:F,3,FALSE)</f>
        <v>7812.28</v>
      </c>
      <c r="J472" s="59">
        <f>VLOOKUP(A472,'611'!D:Q,14,FALSE)</f>
        <v>7812.28</v>
      </c>
      <c r="K472" s="59">
        <f>VLOOKUP(A472,'611'!D:Q,14,FALSE)</f>
        <v>7812.28</v>
      </c>
      <c r="O472" t="s">
        <v>531</v>
      </c>
      <c r="P472" t="str">
        <f>_xlfn.IFNA(VLOOKUP(A472,IndirectCost!B:L,11,FALSE),"")</f>
        <v/>
      </c>
      <c r="Q472">
        <f t="shared" si="7"/>
        <v>0</v>
      </c>
    </row>
    <row r="473" spans="1:17">
      <c r="A473" t="s">
        <v>372</v>
      </c>
      <c r="B473" t="s">
        <v>1108</v>
      </c>
      <c r="C473" t="str">
        <f>VLOOKUP(A473,Districts!A:I,9,FALSE)</f>
        <v>Payson Unified School District</v>
      </c>
      <c r="D473" t="str">
        <f>VLOOKUP(A473,Districts!A:P,16,FALSE)</f>
        <v>MLH5F4N8DMX1</v>
      </c>
      <c r="E473" t="s">
        <v>528</v>
      </c>
      <c r="F473" s="1">
        <v>45200</v>
      </c>
      <c r="G473" t="s">
        <v>529</v>
      </c>
      <c r="H473" t="s">
        <v>530</v>
      </c>
      <c r="I473" s="59">
        <f>VLOOKUP(A473,'611'!D:F,3,FALSE)</f>
        <v>535276.09</v>
      </c>
      <c r="J473" s="59">
        <f>VLOOKUP(A473,'611'!D:Q,14,FALSE)</f>
        <v>615489.92000000004</v>
      </c>
      <c r="K473" s="59">
        <f>VLOOKUP(A473,'611'!D:Q,14,FALSE)</f>
        <v>615489.92000000004</v>
      </c>
      <c r="O473" t="s">
        <v>531</v>
      </c>
      <c r="P473">
        <f>_xlfn.IFNA(VLOOKUP(A473,IndirectCost!B:L,11,FALSE),"")</f>
        <v>5.74</v>
      </c>
      <c r="Q473">
        <f t="shared" si="7"/>
        <v>5.74E-2</v>
      </c>
    </row>
    <row r="474" spans="1:17">
      <c r="A474" t="s">
        <v>373</v>
      </c>
      <c r="B474" t="s">
        <v>1109</v>
      </c>
      <c r="C474" t="str">
        <f>VLOOKUP(A474,Districts!A:I,9,FALSE)</f>
        <v>Peach Springs Unified School District</v>
      </c>
      <c r="D474" t="str">
        <f>VLOOKUP(A474,Districts!A:P,16,FALSE)</f>
        <v>K3DNKVDKZKR7</v>
      </c>
      <c r="E474" t="s">
        <v>528</v>
      </c>
      <c r="F474" s="1">
        <v>45200</v>
      </c>
      <c r="G474" t="s">
        <v>529</v>
      </c>
      <c r="H474" t="s">
        <v>530</v>
      </c>
      <c r="I474" s="59">
        <f>VLOOKUP(A474,'611'!D:F,3,FALSE)</f>
        <v>56884.5</v>
      </c>
      <c r="J474" s="59">
        <f>VLOOKUP(A474,'611'!D:Q,14,FALSE)</f>
        <v>56884.5</v>
      </c>
      <c r="K474" s="59">
        <f>VLOOKUP(A474,'611'!D:Q,14,FALSE)</f>
        <v>56884.5</v>
      </c>
      <c r="O474" t="s">
        <v>531</v>
      </c>
      <c r="P474">
        <f>_xlfn.IFNA(VLOOKUP(A474,IndirectCost!B:L,11,FALSE),"")</f>
        <v>8</v>
      </c>
      <c r="Q474">
        <f t="shared" si="7"/>
        <v>0.08</v>
      </c>
    </row>
    <row r="475" spans="1:17">
      <c r="A475" t="s">
        <v>374</v>
      </c>
      <c r="B475" t="s">
        <v>1110</v>
      </c>
      <c r="C475" t="str">
        <f>VLOOKUP(A475,Districts!A:I,9,FALSE)</f>
        <v>Pearce Elementary School District</v>
      </c>
      <c r="D475" t="str">
        <f>VLOOKUP(A475,Districts!A:P,16,FALSE)</f>
        <v>KRU2MGW77LN8</v>
      </c>
      <c r="E475" t="s">
        <v>528</v>
      </c>
      <c r="F475" s="1">
        <v>45200</v>
      </c>
      <c r="G475" t="s">
        <v>529</v>
      </c>
      <c r="H475" t="s">
        <v>530</v>
      </c>
      <c r="I475" s="59">
        <f>VLOOKUP(A475,'611'!D:F,3,FALSE)</f>
        <v>32249.82</v>
      </c>
      <c r="J475" s="59">
        <f>VLOOKUP(A475,'611'!D:Q,14,FALSE)</f>
        <v>32249.82</v>
      </c>
      <c r="K475" s="59">
        <f>VLOOKUP(A475,'611'!D:Q,14,FALSE)</f>
        <v>32249.82</v>
      </c>
      <c r="O475" t="s">
        <v>531</v>
      </c>
      <c r="P475" t="str">
        <f>_xlfn.IFNA(VLOOKUP(A475,IndirectCost!B:L,11,FALSE),"")</f>
        <v/>
      </c>
      <c r="Q475">
        <f t="shared" si="7"/>
        <v>0</v>
      </c>
    </row>
    <row r="476" spans="1:17">
      <c r="A476" t="s">
        <v>375</v>
      </c>
      <c r="B476" t="s">
        <v>1111</v>
      </c>
      <c r="C476" t="str">
        <f>VLOOKUP(A476,Districts!A:I,9,FALSE)</f>
        <v>PENDERGAST ELEMENTARY SCHOOL DISTRICT 92</v>
      </c>
      <c r="D476" t="str">
        <f>VLOOKUP(A476,Districts!A:P,16,FALSE)</f>
        <v>FT6BFLMJNJM4</v>
      </c>
      <c r="E476" t="s">
        <v>528</v>
      </c>
      <c r="F476" s="1">
        <v>45200</v>
      </c>
      <c r="G476" t="s">
        <v>529</v>
      </c>
      <c r="H476" t="s">
        <v>530</v>
      </c>
      <c r="I476" s="59">
        <f>VLOOKUP(A476,'611'!D:F,3,FALSE)</f>
        <v>1783139.14</v>
      </c>
      <c r="J476" s="59">
        <f>VLOOKUP(A476,'611'!D:Q,14,FALSE)</f>
        <v>1881048.38</v>
      </c>
      <c r="K476" s="59">
        <f>VLOOKUP(A476,'611'!D:Q,14,FALSE)</f>
        <v>1881048.38</v>
      </c>
      <c r="O476" t="s">
        <v>531</v>
      </c>
      <c r="P476">
        <f>_xlfn.IFNA(VLOOKUP(A476,IndirectCost!B:L,11,FALSE),"")</f>
        <v>1.9</v>
      </c>
      <c r="Q476">
        <f t="shared" si="7"/>
        <v>1.9E-2</v>
      </c>
    </row>
    <row r="477" spans="1:17">
      <c r="A477" t="s">
        <v>1112</v>
      </c>
      <c r="B477" t="s">
        <v>1113</v>
      </c>
      <c r="C477" t="str">
        <f>VLOOKUP(A477,Districts!A:I,9,FALSE)</f>
        <v>Pensar Academy</v>
      </c>
      <c r="D477" t="str">
        <f>VLOOKUP(A477,Districts!A:P,16,FALSE)</f>
        <v>D4ZLLRC6JBY5</v>
      </c>
      <c r="E477" t="s">
        <v>528</v>
      </c>
      <c r="F477" s="1">
        <v>45200</v>
      </c>
      <c r="G477" t="s">
        <v>529</v>
      </c>
      <c r="H477" t="s">
        <v>530</v>
      </c>
      <c r="I477" s="59">
        <f>VLOOKUP(A477,'611'!D:F,3,FALSE)</f>
        <v>38072.410000000003</v>
      </c>
      <c r="J477" s="59">
        <f>VLOOKUP(A477,'611'!D:Q,14,FALSE)</f>
        <v>38072.410000000003</v>
      </c>
      <c r="K477" s="59">
        <f>VLOOKUP(A477,'611'!D:Q,14,FALSE)</f>
        <v>38072.410000000003</v>
      </c>
      <c r="O477" t="s">
        <v>531</v>
      </c>
      <c r="P477">
        <f>_xlfn.IFNA(VLOOKUP(A477,IndirectCost!B:L,11,FALSE),"")</f>
        <v>8</v>
      </c>
      <c r="Q477">
        <f t="shared" si="7"/>
        <v>0.08</v>
      </c>
    </row>
    <row r="478" spans="1:17">
      <c r="A478" t="s">
        <v>376</v>
      </c>
      <c r="B478" t="s">
        <v>1114</v>
      </c>
      <c r="C478" t="str">
        <f>VLOOKUP(A478,Districts!A:I,9,FALSE)</f>
        <v>Peoria Unified School District 11</v>
      </c>
      <c r="D478" t="str">
        <f>VLOOKUP(A478,Districts!A:P,16,FALSE)</f>
        <v>QF5ELNJFBVS3</v>
      </c>
      <c r="E478" t="s">
        <v>528</v>
      </c>
      <c r="F478" s="1">
        <v>45200</v>
      </c>
      <c r="G478" t="s">
        <v>529</v>
      </c>
      <c r="H478" t="s">
        <v>530</v>
      </c>
      <c r="I478" s="59">
        <f>VLOOKUP(A478,'611'!D:F,3,FALSE)</f>
        <v>7176052.2300000004</v>
      </c>
      <c r="J478" s="59">
        <f>VLOOKUP(A478,'611'!D:Q,14,FALSE)</f>
        <v>7176052.2300000004</v>
      </c>
      <c r="K478" s="59">
        <f>VLOOKUP(A478,'611'!D:Q,14,FALSE)</f>
        <v>7176052.2300000004</v>
      </c>
      <c r="O478" t="s">
        <v>531</v>
      </c>
      <c r="P478">
        <f>_xlfn.IFNA(VLOOKUP(A478,IndirectCost!B:L,11,FALSE),"")</f>
        <v>2.91</v>
      </c>
      <c r="Q478">
        <f t="shared" si="7"/>
        <v>2.9100000000000001E-2</v>
      </c>
    </row>
    <row r="479" spans="1:17">
      <c r="A479" t="s">
        <v>1115</v>
      </c>
      <c r="B479" t="s">
        <v>1116</v>
      </c>
      <c r="C479" t="str">
        <f>VLOOKUP(A479,Districts!A:I,9,FALSE)</f>
        <v>Pioneer Technology &amp; Arts Academy of Arizona</v>
      </c>
      <c r="D479" t="str">
        <f>VLOOKUP(A479,Districts!A:P,16,FALSE)</f>
        <v>QNJRHZ8LE5R3</v>
      </c>
      <c r="E479" t="s">
        <v>528</v>
      </c>
      <c r="F479" s="1">
        <v>45200</v>
      </c>
      <c r="G479" t="s">
        <v>529</v>
      </c>
      <c r="H479" t="s">
        <v>530</v>
      </c>
      <c r="I479" s="59">
        <f>VLOOKUP(A479,'611'!D:F,3,FALSE)</f>
        <v>75618.559999999998</v>
      </c>
      <c r="J479" s="59">
        <f>VLOOKUP(A479,'611'!D:Q,14,FALSE)</f>
        <v>75618.559999999998</v>
      </c>
      <c r="K479" s="59">
        <f>VLOOKUP(A479,'611'!D:Q,14,FALSE)</f>
        <v>75618.559999999998</v>
      </c>
      <c r="O479" t="s">
        <v>531</v>
      </c>
      <c r="P479" t="str">
        <f>_xlfn.IFNA(VLOOKUP(A479,IndirectCost!B:L,11,FALSE),"")</f>
        <v/>
      </c>
      <c r="Q479">
        <f t="shared" si="7"/>
        <v>0</v>
      </c>
    </row>
    <row r="480" spans="1:17">
      <c r="A480" t="s">
        <v>377</v>
      </c>
      <c r="B480" t="s">
        <v>1117</v>
      </c>
      <c r="C480" t="str">
        <f>VLOOKUP(A480,Districts!A:I,9,FALSE)</f>
        <v>Phoenix Elementary School District 1</v>
      </c>
      <c r="D480" t="str">
        <f>VLOOKUP(A480,Districts!A:P,16,FALSE)</f>
        <v>P5F9QKQ82MX8</v>
      </c>
      <c r="E480" t="s">
        <v>528</v>
      </c>
      <c r="F480" s="1">
        <v>45200</v>
      </c>
      <c r="G480" t="s">
        <v>529</v>
      </c>
      <c r="H480" t="s">
        <v>530</v>
      </c>
      <c r="I480" s="59">
        <f>VLOOKUP(A480,'611'!D:F,3,FALSE)</f>
        <v>1330090.2</v>
      </c>
      <c r="J480" s="59">
        <f>VLOOKUP(A480,'611'!D:Q,14,FALSE)</f>
        <v>2037616.54</v>
      </c>
      <c r="K480" s="59">
        <f>VLOOKUP(A480,'611'!D:Q,14,FALSE)</f>
        <v>2037616.54</v>
      </c>
      <c r="O480" t="s">
        <v>531</v>
      </c>
      <c r="P480">
        <f>_xlfn.IFNA(VLOOKUP(A480,IndirectCost!B:L,11,FALSE),"")</f>
        <v>8</v>
      </c>
      <c r="Q480">
        <f t="shared" si="7"/>
        <v>0.08</v>
      </c>
    </row>
    <row r="481" spans="1:17">
      <c r="A481" t="s">
        <v>378</v>
      </c>
      <c r="B481" t="s">
        <v>1118</v>
      </c>
      <c r="C481" t="str">
        <f>VLOOKUP(A481,Districts!A:I,9,FALSE)</f>
        <v>Phoenix International Academy</v>
      </c>
      <c r="D481" t="str">
        <f>VLOOKUP(A481,Districts!A:P,16,FALSE)</f>
        <v>FULJQWGZMGN3</v>
      </c>
      <c r="E481" t="s">
        <v>528</v>
      </c>
      <c r="F481" s="1">
        <v>45200</v>
      </c>
      <c r="G481" t="s">
        <v>529</v>
      </c>
      <c r="H481" t="s">
        <v>530</v>
      </c>
      <c r="I481" s="59">
        <f>VLOOKUP(A481,'611'!D:F,3,FALSE)</f>
        <v>28291.21</v>
      </c>
      <c r="J481" s="59">
        <f>VLOOKUP(A481,'611'!D:Q,14,FALSE)</f>
        <v>28291.21</v>
      </c>
      <c r="K481" s="59">
        <f>VLOOKUP(A481,'611'!D:Q,14,FALSE)</f>
        <v>28291.21</v>
      </c>
      <c r="O481" t="s">
        <v>531</v>
      </c>
      <c r="P481" t="str">
        <f>_xlfn.IFNA(VLOOKUP(A481,IndirectCost!B:L,11,FALSE),"")</f>
        <v/>
      </c>
      <c r="Q481">
        <f t="shared" si="7"/>
        <v>0</v>
      </c>
    </row>
    <row r="482" spans="1:17">
      <c r="A482" t="s">
        <v>1119</v>
      </c>
      <c r="B482" t="s">
        <v>1120</v>
      </c>
      <c r="C482" t="str">
        <f>VLOOKUP(A482,Districts!A:I,9,FALSE)</f>
        <v>Phoenix School of Academic Excellence</v>
      </c>
      <c r="D482" t="str">
        <f>VLOOKUP(A482,Districts!A:P,16,FALSE)</f>
        <v>JGNEPR4P9VD9</v>
      </c>
      <c r="E482" t="s">
        <v>528</v>
      </c>
      <c r="F482" s="1">
        <v>45200</v>
      </c>
      <c r="G482" t="s">
        <v>529</v>
      </c>
      <c r="H482" t="s">
        <v>530</v>
      </c>
      <c r="I482" s="59">
        <f>VLOOKUP(A482,'611'!D:F,3,FALSE)</f>
        <v>22726.71</v>
      </c>
      <c r="J482" s="59">
        <f>VLOOKUP(A482,'611'!D:Q,14,FALSE)</f>
        <v>22726.71</v>
      </c>
      <c r="K482" s="59">
        <f>VLOOKUP(A482,'611'!D:Q,14,FALSE)</f>
        <v>22726.71</v>
      </c>
      <c r="O482" t="s">
        <v>531</v>
      </c>
      <c r="P482" t="str">
        <f>_xlfn.IFNA(VLOOKUP(A482,IndirectCost!B:L,11,FALSE),"")</f>
        <v/>
      </c>
      <c r="Q482">
        <f t="shared" si="7"/>
        <v>0</v>
      </c>
    </row>
    <row r="483" spans="1:17">
      <c r="A483" t="s">
        <v>1121</v>
      </c>
      <c r="B483" t="s">
        <v>1122</v>
      </c>
      <c r="C483" t="str">
        <f>VLOOKUP(A483,Districts!A:I,9,FALSE)</f>
        <v>PHOENIX UNION HIGH SCHOOL DISTRICT NO 210</v>
      </c>
      <c r="D483" t="str">
        <f>VLOOKUP(A483,Districts!A:P,16,FALSE)</f>
        <v>J55DZJKWLBG6</v>
      </c>
      <c r="E483" t="s">
        <v>528</v>
      </c>
      <c r="F483" s="1">
        <v>45200</v>
      </c>
      <c r="G483" t="s">
        <v>529</v>
      </c>
      <c r="H483" t="s">
        <v>530</v>
      </c>
      <c r="I483" s="59">
        <f>VLOOKUP(A483,'611'!D:F,3,FALSE)</f>
        <v>6527243.2400000002</v>
      </c>
      <c r="J483" s="59">
        <f>VLOOKUP(A483,'611'!D:Q,14,FALSE)</f>
        <v>7340278.5</v>
      </c>
      <c r="K483" s="59">
        <f>VLOOKUP(A483,'611'!D:Q,14,FALSE)</f>
        <v>7340278.5</v>
      </c>
      <c r="O483" t="s">
        <v>531</v>
      </c>
      <c r="P483">
        <f>_xlfn.IFNA(VLOOKUP(A483,IndirectCost!B:L,11,FALSE),"")</f>
        <v>5.92</v>
      </c>
      <c r="Q483">
        <f t="shared" si="7"/>
        <v>5.9200000000000003E-2</v>
      </c>
    </row>
    <row r="484" spans="1:17">
      <c r="A484" t="s">
        <v>379</v>
      </c>
      <c r="B484" t="s">
        <v>1123</v>
      </c>
      <c r="C484" t="str">
        <f>VLOOKUP(A484,Districts!A:I,9,FALSE)</f>
        <v>Picacho Elementary School District 33</v>
      </c>
      <c r="D484" t="str">
        <f>VLOOKUP(A484,Districts!A:P,16,FALSE)</f>
        <v>K4DCR8GM7MK5</v>
      </c>
      <c r="E484" t="s">
        <v>528</v>
      </c>
      <c r="F484" s="1">
        <v>45200</v>
      </c>
      <c r="G484" t="s">
        <v>529</v>
      </c>
      <c r="H484" t="s">
        <v>530</v>
      </c>
      <c r="I484" s="59">
        <f>VLOOKUP(A484,'611'!D:F,3,FALSE)</f>
        <v>39485.89</v>
      </c>
      <c r="J484" s="59">
        <f>VLOOKUP(A484,'611'!D:Q,14,FALSE)</f>
        <v>39485.89</v>
      </c>
      <c r="K484" s="59">
        <f>VLOOKUP(A484,'611'!D:Q,14,FALSE)</f>
        <v>39485.89</v>
      </c>
      <c r="O484" t="s">
        <v>531</v>
      </c>
      <c r="P484">
        <f>_xlfn.IFNA(VLOOKUP(A484,IndirectCost!B:L,11,FALSE),"")</f>
        <v>8</v>
      </c>
      <c r="Q484">
        <f t="shared" si="7"/>
        <v>0.08</v>
      </c>
    </row>
    <row r="485" spans="1:17">
      <c r="A485" t="s">
        <v>1124</v>
      </c>
      <c r="B485" t="s">
        <v>1125</v>
      </c>
      <c r="C485" t="str">
        <f>VLOOKUP(A485,Districts!A:I,9,FALSE)</f>
        <v>Pillar Charter School DBA Pillar Academy for Business &amp; Finance</v>
      </c>
      <c r="D485" t="str">
        <f>VLOOKUP(A485,Districts!A:P,16,FALSE)</f>
        <v>MB9HK1J58YT8</v>
      </c>
      <c r="E485" t="s">
        <v>528</v>
      </c>
      <c r="F485" s="1">
        <v>45200</v>
      </c>
      <c r="G485" t="s">
        <v>529</v>
      </c>
      <c r="H485" t="s">
        <v>530</v>
      </c>
      <c r="I485" s="59">
        <f>VLOOKUP(A485,'611'!D:F,3,FALSE)</f>
        <v>2861.84</v>
      </c>
      <c r="J485" s="59">
        <f>VLOOKUP(A485,'611'!D:Q,14,FALSE)</f>
        <v>4272.24</v>
      </c>
      <c r="K485" s="59">
        <f>VLOOKUP(A485,'611'!D:Q,14,FALSE)</f>
        <v>4272.24</v>
      </c>
      <c r="O485" t="s">
        <v>531</v>
      </c>
      <c r="P485" t="str">
        <f>_xlfn.IFNA(VLOOKUP(A485,IndirectCost!B:L,11,FALSE),"")</f>
        <v/>
      </c>
      <c r="Q485">
        <f t="shared" si="7"/>
        <v>0</v>
      </c>
    </row>
    <row r="486" spans="1:17">
      <c r="A486" t="s">
        <v>1126</v>
      </c>
      <c r="B486" t="s">
        <v>1127</v>
      </c>
      <c r="C486" t="str">
        <f>VLOOKUP(A486,Districts!A:I,9,FALSE)</f>
        <v>Pima County Superintendent of Schools</v>
      </c>
      <c r="D486" t="str">
        <f>VLOOKUP(A486,Districts!A:P,16,FALSE)</f>
        <v>Q8UZWV7MS6H3</v>
      </c>
      <c r="E486" t="s">
        <v>528</v>
      </c>
      <c r="F486" s="1">
        <v>45200</v>
      </c>
      <c r="G486" t="s">
        <v>529</v>
      </c>
      <c r="H486" t="s">
        <v>530</v>
      </c>
      <c r="I486" s="59">
        <f>VLOOKUP(A486,'611'!D:F,3,FALSE)</f>
        <v>131135.63</v>
      </c>
      <c r="J486" s="59">
        <f>VLOOKUP(A486,'611'!D:Q,14,FALSE)</f>
        <v>131167.20000000001</v>
      </c>
      <c r="K486" s="59">
        <f>VLOOKUP(A486,'611'!D:Q,14,FALSE)</f>
        <v>131167.20000000001</v>
      </c>
      <c r="O486" t="s">
        <v>531</v>
      </c>
      <c r="P486" t="str">
        <f>_xlfn.IFNA(VLOOKUP(A486,IndirectCost!B:L,11,FALSE),"")</f>
        <v/>
      </c>
      <c r="Q486">
        <f t="shared" si="7"/>
        <v>0</v>
      </c>
    </row>
    <row r="487" spans="1:17">
      <c r="A487" t="s">
        <v>1128</v>
      </c>
      <c r="B487" t="s">
        <v>1129</v>
      </c>
      <c r="C487" t="str">
        <f>VLOOKUP(A487,Districts!A:I,9,FALSE)</f>
        <v>Pima County</v>
      </c>
      <c r="D487" t="str">
        <f>VLOOKUP(A487,Districts!A:P,16,FALSE)</f>
        <v>D593JYZZRK25</v>
      </c>
      <c r="E487" t="s">
        <v>528</v>
      </c>
      <c r="F487" s="1">
        <v>45200</v>
      </c>
      <c r="G487" t="s">
        <v>529</v>
      </c>
      <c r="H487" t="s">
        <v>530</v>
      </c>
      <c r="I487" s="59">
        <f>VLOOKUP(A487,'611'!D:F,3,FALSE)</f>
        <v>14576.94</v>
      </c>
      <c r="J487" s="59">
        <f>VLOOKUP(A487,'611'!D:Q,14,FALSE)</f>
        <v>25497.07</v>
      </c>
      <c r="K487" s="59">
        <f>VLOOKUP(A487,'611'!D:Q,14,FALSE)</f>
        <v>25497.07</v>
      </c>
      <c r="O487" t="s">
        <v>531</v>
      </c>
      <c r="P487">
        <f>_xlfn.IFNA(VLOOKUP(A487,IndirectCost!B:L,11,FALSE),"")</f>
        <v>8</v>
      </c>
      <c r="Q487">
        <f t="shared" si="7"/>
        <v>0.08</v>
      </c>
    </row>
    <row r="488" spans="1:17">
      <c r="A488" t="s">
        <v>1130</v>
      </c>
      <c r="B488" t="s">
        <v>1131</v>
      </c>
      <c r="C488" t="str">
        <f>VLOOKUP(A488,Districts!A:I,9,FALSE)</f>
        <v>Pima Prevention Partnership - PPP</v>
      </c>
      <c r="D488" t="str">
        <f>VLOOKUP(A488,Districts!A:P,16,FALSE)</f>
        <v>JKRMNLBTPN28</v>
      </c>
      <c r="E488" t="s">
        <v>528</v>
      </c>
      <c r="F488" s="1">
        <v>45200</v>
      </c>
      <c r="G488" t="s">
        <v>529</v>
      </c>
      <c r="H488" t="s">
        <v>530</v>
      </c>
      <c r="I488" s="59">
        <f>VLOOKUP(A488,'611'!D:F,3,FALSE)</f>
        <v>10150.14</v>
      </c>
      <c r="J488" s="59">
        <f>VLOOKUP(A488,'611'!D:Q,14,FALSE)</f>
        <v>11863.44</v>
      </c>
      <c r="K488" s="59">
        <f>VLOOKUP(A488,'611'!D:Q,14,FALSE)</f>
        <v>11863.44</v>
      </c>
      <c r="O488" t="s">
        <v>531</v>
      </c>
      <c r="P488">
        <f>_xlfn.IFNA(VLOOKUP(A488,IndirectCost!B:L,11,FALSE),"")</f>
        <v>8</v>
      </c>
      <c r="Q488">
        <f t="shared" si="7"/>
        <v>0.08</v>
      </c>
    </row>
    <row r="489" spans="1:17">
      <c r="A489" t="s">
        <v>1132</v>
      </c>
      <c r="B489" t="s">
        <v>1133</v>
      </c>
      <c r="C489" t="str">
        <f>VLOOKUP(A489,Districts!A:I,9,FALSE)</f>
        <v>Pima Prevention Partnership - PPP</v>
      </c>
      <c r="D489" t="str">
        <f>VLOOKUP(A489,Districts!A:P,16,FALSE)</f>
        <v>JKRMNLBTPN28</v>
      </c>
      <c r="E489" t="s">
        <v>528</v>
      </c>
      <c r="F489" s="1">
        <v>45200</v>
      </c>
      <c r="G489" t="s">
        <v>529</v>
      </c>
      <c r="H489" t="s">
        <v>530</v>
      </c>
      <c r="I489" s="59">
        <f>VLOOKUP(A489,'611'!D:F,3,FALSE)</f>
        <v>23589.09</v>
      </c>
      <c r="J489" s="59">
        <f>VLOOKUP(A489,'611'!D:Q,14,FALSE)</f>
        <v>26608.45</v>
      </c>
      <c r="K489" s="59">
        <f>VLOOKUP(A489,'611'!D:Q,14,FALSE)</f>
        <v>26608.45</v>
      </c>
      <c r="O489" t="s">
        <v>531</v>
      </c>
      <c r="P489">
        <f>_xlfn.IFNA(VLOOKUP(A489,IndirectCost!B:L,11,FALSE),"")</f>
        <v>8</v>
      </c>
      <c r="Q489">
        <f t="shared" si="7"/>
        <v>0.08</v>
      </c>
    </row>
    <row r="490" spans="1:17">
      <c r="A490" t="s">
        <v>1134</v>
      </c>
      <c r="B490" t="s">
        <v>1135</v>
      </c>
      <c r="C490" t="str">
        <f>VLOOKUP(A490,Districts!A:I,9,FALSE)</f>
        <v>Pima Prevention Partnership - PPP</v>
      </c>
      <c r="D490" t="str">
        <f>VLOOKUP(A490,Districts!A:P,16,FALSE)</f>
        <v>JKRMNLBTPN28</v>
      </c>
      <c r="E490" t="s">
        <v>528</v>
      </c>
      <c r="F490" s="1">
        <v>45200</v>
      </c>
      <c r="G490" t="s">
        <v>529</v>
      </c>
      <c r="H490" t="s">
        <v>530</v>
      </c>
      <c r="I490" s="59">
        <f>VLOOKUP(A490,'611'!D:F,3,FALSE)</f>
        <v>24936.44</v>
      </c>
      <c r="J490" s="59">
        <f>VLOOKUP(A490,'611'!D:Q,14,FALSE)</f>
        <v>24936.44</v>
      </c>
      <c r="K490" s="59">
        <f>VLOOKUP(A490,'611'!D:Q,14,FALSE)</f>
        <v>24936.44</v>
      </c>
      <c r="O490" t="s">
        <v>531</v>
      </c>
      <c r="P490">
        <f>_xlfn.IFNA(VLOOKUP(A490,IndirectCost!B:L,11,FALSE),"")</f>
        <v>8</v>
      </c>
      <c r="Q490">
        <f t="shared" si="7"/>
        <v>0.08</v>
      </c>
    </row>
    <row r="491" spans="1:17">
      <c r="A491" t="s">
        <v>380</v>
      </c>
      <c r="B491" t="s">
        <v>1136</v>
      </c>
      <c r="C491" t="str">
        <f>VLOOKUP(A491,Districts!A:I,9,FALSE)</f>
        <v>Pima Unified School District 6</v>
      </c>
      <c r="D491" t="str">
        <f>VLOOKUP(A491,Districts!A:P,16,FALSE)</f>
        <v>P3XUNQ7HJ495</v>
      </c>
      <c r="E491" t="s">
        <v>528</v>
      </c>
      <c r="F491" s="1">
        <v>45200</v>
      </c>
      <c r="G491" t="s">
        <v>529</v>
      </c>
      <c r="H491" t="s">
        <v>530</v>
      </c>
      <c r="I491" s="59">
        <f>VLOOKUP(A491,'611'!D:F,3,FALSE)</f>
        <v>195067.14</v>
      </c>
      <c r="J491" s="59">
        <f>VLOOKUP(A491,'611'!D:Q,14,FALSE)</f>
        <v>197441.19</v>
      </c>
      <c r="K491" s="59">
        <f>VLOOKUP(A491,'611'!D:Q,14,FALSE)</f>
        <v>197441.19</v>
      </c>
      <c r="O491" t="s">
        <v>531</v>
      </c>
      <c r="P491">
        <f>_xlfn.IFNA(VLOOKUP(A491,IndirectCost!B:L,11,FALSE),"")</f>
        <v>8</v>
      </c>
      <c r="Q491">
        <f t="shared" si="7"/>
        <v>0.08</v>
      </c>
    </row>
    <row r="492" spans="1:17">
      <c r="A492" t="s">
        <v>1137</v>
      </c>
      <c r="B492" t="s">
        <v>1138</v>
      </c>
      <c r="C492">
        <f>VLOOKUP(A492,Districts!A:I,9,FALSE)</f>
        <v>0</v>
      </c>
      <c r="D492">
        <f>VLOOKUP(A492,Districts!A:P,16,FALSE)</f>
        <v>0</v>
      </c>
      <c r="E492" t="s">
        <v>528</v>
      </c>
      <c r="F492" s="1">
        <v>45200</v>
      </c>
      <c r="G492" t="s">
        <v>529</v>
      </c>
      <c r="H492" t="s">
        <v>530</v>
      </c>
      <c r="I492" s="59">
        <f>VLOOKUP(A492,'611'!D:F,3,FALSE)</f>
        <v>8063.09</v>
      </c>
      <c r="J492" s="59">
        <f>VLOOKUP(A492,'611'!D:Q,14,FALSE)</f>
        <v>0</v>
      </c>
      <c r="K492" s="59">
        <f>VLOOKUP(A492,'611'!D:Q,14,FALSE)</f>
        <v>0</v>
      </c>
      <c r="O492" t="s">
        <v>531</v>
      </c>
      <c r="P492" t="str">
        <f>_xlfn.IFNA(VLOOKUP(A492,IndirectCost!B:L,11,FALSE),"")</f>
        <v/>
      </c>
      <c r="Q492">
        <f t="shared" si="7"/>
        <v>0</v>
      </c>
    </row>
    <row r="493" spans="1:17">
      <c r="A493" t="s">
        <v>381</v>
      </c>
      <c r="B493" t="s">
        <v>1139</v>
      </c>
      <c r="C493" t="str">
        <f>VLOOKUP(A493,Districts!A:I,9,FALSE)</f>
        <v>PINE FOREST EDU ASSOC. INC.</v>
      </c>
      <c r="D493" t="str">
        <f>VLOOKUP(A493,Districts!A:P,16,FALSE)</f>
        <v>P1LLF3UXDWA8</v>
      </c>
      <c r="E493" t="s">
        <v>528</v>
      </c>
      <c r="F493" s="1">
        <v>45200</v>
      </c>
      <c r="G493" t="s">
        <v>529</v>
      </c>
      <c r="H493" t="s">
        <v>530</v>
      </c>
      <c r="I493" s="59">
        <f>VLOOKUP(A493,'611'!D:F,3,FALSE)</f>
        <v>43578.77</v>
      </c>
      <c r="J493" s="59">
        <f>VLOOKUP(A493,'611'!D:Q,14,FALSE)</f>
        <v>54837.72</v>
      </c>
      <c r="K493" s="59">
        <f>VLOOKUP(A493,'611'!D:Q,14,FALSE)</f>
        <v>54837.72</v>
      </c>
      <c r="O493" t="s">
        <v>531</v>
      </c>
      <c r="P493" t="str">
        <f>_xlfn.IFNA(VLOOKUP(A493,IndirectCost!B:L,11,FALSE),"")</f>
        <v/>
      </c>
      <c r="Q493">
        <f t="shared" si="7"/>
        <v>0</v>
      </c>
    </row>
    <row r="494" spans="1:17">
      <c r="A494" t="s">
        <v>382</v>
      </c>
      <c r="B494" t="s">
        <v>1140</v>
      </c>
      <c r="C494" t="str">
        <f>VLOOKUP(A494,Districts!A:I,9,FALSE)</f>
        <v>County of GIla 12 School Distirct Pine Strawberry School</v>
      </c>
      <c r="D494" t="str">
        <f>VLOOKUP(A494,Districts!A:P,16,FALSE)</f>
        <v>SDMNYRVQ1AY3</v>
      </c>
      <c r="E494" t="s">
        <v>528</v>
      </c>
      <c r="F494" s="1">
        <v>45200</v>
      </c>
      <c r="G494" t="s">
        <v>529</v>
      </c>
      <c r="H494" t="s">
        <v>530</v>
      </c>
      <c r="I494" s="59">
        <f>VLOOKUP(A494,'611'!D:F,3,FALSE)</f>
        <v>37166.120000000003</v>
      </c>
      <c r="J494" s="59">
        <f>VLOOKUP(A494,'611'!D:Q,14,FALSE)</f>
        <v>43777.36</v>
      </c>
      <c r="K494" s="59">
        <f>VLOOKUP(A494,'611'!D:Q,14,FALSE)</f>
        <v>43777.36</v>
      </c>
      <c r="O494" t="s">
        <v>531</v>
      </c>
      <c r="P494" t="str">
        <f>_xlfn.IFNA(VLOOKUP(A494,IndirectCost!B:L,11,FALSE),"")</f>
        <v/>
      </c>
      <c r="Q494">
        <f t="shared" si="7"/>
        <v>0</v>
      </c>
    </row>
    <row r="495" spans="1:17">
      <c r="A495" t="s">
        <v>383</v>
      </c>
      <c r="B495" t="s">
        <v>1141</v>
      </c>
      <c r="C495" t="str">
        <f>VLOOKUP(A495,Districts!A:I,9,FALSE)</f>
        <v>Pinon Unified School District</v>
      </c>
      <c r="D495" t="str">
        <f>VLOOKUP(A495,Districts!A:P,16,FALSE)</f>
        <v>VVQ2WTDB2KK3</v>
      </c>
      <c r="E495" t="s">
        <v>528</v>
      </c>
      <c r="F495" s="1">
        <v>45200</v>
      </c>
      <c r="G495" t="s">
        <v>529</v>
      </c>
      <c r="H495" t="s">
        <v>530</v>
      </c>
      <c r="I495" s="59">
        <f>VLOOKUP(A495,'611'!D:F,3,FALSE)</f>
        <v>258970.33</v>
      </c>
      <c r="J495" s="59">
        <f>VLOOKUP(A495,'611'!D:Q,14,FALSE)</f>
        <v>258970.33</v>
      </c>
      <c r="K495" s="59">
        <f>VLOOKUP(A495,'611'!D:Q,14,FALSE)</f>
        <v>258970.33</v>
      </c>
      <c r="O495" t="s">
        <v>531</v>
      </c>
      <c r="P495">
        <f>_xlfn.IFNA(VLOOKUP(A495,IndirectCost!B:L,11,FALSE),"")</f>
        <v>8</v>
      </c>
      <c r="Q495">
        <f t="shared" si="7"/>
        <v>0.08</v>
      </c>
    </row>
    <row r="496" spans="1:17">
      <c r="A496" t="s">
        <v>384</v>
      </c>
      <c r="B496" t="s">
        <v>1142</v>
      </c>
      <c r="C496" t="str">
        <f>VLOOKUP(A496,Districts!A:I,9,FALSE)</f>
        <v>Pioneer Preparatory School</v>
      </c>
      <c r="D496" t="str">
        <f>VLOOKUP(A496,Districts!A:P,16,FALSE)</f>
        <v>SNBYH6NELBJ1</v>
      </c>
      <c r="E496" t="s">
        <v>528</v>
      </c>
      <c r="F496" s="1">
        <v>45200</v>
      </c>
      <c r="G496" t="s">
        <v>529</v>
      </c>
      <c r="H496" t="s">
        <v>530</v>
      </c>
      <c r="I496" s="59">
        <f>VLOOKUP(A496,'611'!D:F,3,FALSE)</f>
        <v>72328.98</v>
      </c>
      <c r="J496" s="59">
        <f>VLOOKUP(A496,'611'!D:Q,14,FALSE)</f>
        <v>123289.47</v>
      </c>
      <c r="K496" s="59">
        <f>VLOOKUP(A496,'611'!D:Q,14,FALSE)</f>
        <v>123289.47</v>
      </c>
      <c r="O496" t="s">
        <v>531</v>
      </c>
      <c r="P496" t="str">
        <f>_xlfn.IFNA(VLOOKUP(A496,IndirectCost!B:L,11,FALSE),"")</f>
        <v/>
      </c>
      <c r="Q496">
        <f t="shared" si="7"/>
        <v>0</v>
      </c>
    </row>
    <row r="497" spans="1:17">
      <c r="A497" t="s">
        <v>385</v>
      </c>
      <c r="B497" t="s">
        <v>1143</v>
      </c>
      <c r="C497" t="str">
        <f>VLOOKUP(A497,Districts!A:I,9,FALSE)</f>
        <v>POINTE SCHOOLS</v>
      </c>
      <c r="D497" t="str">
        <f>VLOOKUP(A497,Districts!A:P,16,FALSE)</f>
        <v>P9HZAMWMDEY1</v>
      </c>
      <c r="E497" t="s">
        <v>528</v>
      </c>
      <c r="F497" s="1">
        <v>45200</v>
      </c>
      <c r="G497" t="s">
        <v>529</v>
      </c>
      <c r="H497" t="s">
        <v>530</v>
      </c>
      <c r="I497" s="59">
        <f>VLOOKUP(A497,'611'!D:F,3,FALSE)</f>
        <v>83563.34</v>
      </c>
      <c r="J497" s="59">
        <f>VLOOKUP(A497,'611'!D:Q,14,FALSE)</f>
        <v>0</v>
      </c>
      <c r="K497" s="59">
        <f>VLOOKUP(A497,'611'!D:Q,14,FALSE)</f>
        <v>0</v>
      </c>
      <c r="O497" t="s">
        <v>531</v>
      </c>
      <c r="P497" t="str">
        <f>_xlfn.IFNA(VLOOKUP(A497,IndirectCost!B:L,11,FALSE),"")</f>
        <v/>
      </c>
      <c r="Q497">
        <f t="shared" si="7"/>
        <v>0</v>
      </c>
    </row>
    <row r="498" spans="1:17">
      <c r="A498" t="s">
        <v>386</v>
      </c>
      <c r="B498" t="s">
        <v>1144</v>
      </c>
      <c r="C498" t="str">
        <f>VLOOKUP(A498,Districts!A:I,9,FALSE)</f>
        <v>POMERENE SCHOOL DISTRICT 64</v>
      </c>
      <c r="D498" t="str">
        <f>VLOOKUP(A498,Districts!A:P,16,FALSE)</f>
        <v>PSBND81AM6T7</v>
      </c>
      <c r="E498" t="s">
        <v>528</v>
      </c>
      <c r="F498" s="1">
        <v>45200</v>
      </c>
      <c r="G498" t="s">
        <v>529</v>
      </c>
      <c r="H498" t="s">
        <v>530</v>
      </c>
      <c r="I498" s="59">
        <f>VLOOKUP(A498,'611'!D:F,3,FALSE)</f>
        <v>23480.73</v>
      </c>
      <c r="J498" s="59">
        <f>VLOOKUP(A498,'611'!D:Q,14,FALSE)</f>
        <v>28752.92</v>
      </c>
      <c r="K498" s="59">
        <f>VLOOKUP(A498,'611'!D:Q,14,FALSE)</f>
        <v>28752.92</v>
      </c>
      <c r="O498" t="s">
        <v>531</v>
      </c>
      <c r="P498" t="str">
        <f>_xlfn.IFNA(VLOOKUP(A498,IndirectCost!B:L,11,FALSE),"")</f>
        <v/>
      </c>
      <c r="Q498">
        <f t="shared" si="7"/>
        <v>0</v>
      </c>
    </row>
    <row r="499" spans="1:17">
      <c r="A499" t="s">
        <v>1145</v>
      </c>
      <c r="B499" t="s">
        <v>1146</v>
      </c>
      <c r="C499" t="str">
        <f>VLOOKUP(A499,Districts!A:I,9,FALSE)</f>
        <v>Portable Practical Education Preparati</v>
      </c>
      <c r="D499" t="str">
        <f>VLOOKUP(A499,Districts!A:P,16,FALSE)</f>
        <v>C15RWPNMH747</v>
      </c>
      <c r="E499" t="s">
        <v>528</v>
      </c>
      <c r="F499" s="1">
        <v>45200</v>
      </c>
      <c r="G499" t="s">
        <v>529</v>
      </c>
      <c r="H499" t="s">
        <v>530</v>
      </c>
      <c r="I499" s="59">
        <f>VLOOKUP(A499,'611'!D:F,3,FALSE)</f>
        <v>141288.74</v>
      </c>
      <c r="J499" s="59">
        <f>VLOOKUP(A499,'611'!D:Q,14,FALSE)</f>
        <v>199165.34</v>
      </c>
      <c r="K499" s="59">
        <f>VLOOKUP(A499,'611'!D:Q,14,FALSE)</f>
        <v>199165.34</v>
      </c>
      <c r="O499" t="s">
        <v>531</v>
      </c>
      <c r="P499" t="str">
        <f>_xlfn.IFNA(VLOOKUP(A499,IndirectCost!B:L,11,FALSE),"")</f>
        <v/>
      </c>
      <c r="Q499">
        <f t="shared" si="7"/>
        <v>0</v>
      </c>
    </row>
    <row r="500" spans="1:17">
      <c r="A500" t="s">
        <v>387</v>
      </c>
      <c r="B500" t="s">
        <v>1146</v>
      </c>
      <c r="C500" t="str">
        <f>VLOOKUP(A500,Districts!A:I,9,FALSE)</f>
        <v>Portable Practical Educational Preparation</v>
      </c>
      <c r="D500" t="str">
        <f>VLOOKUP(A500,Districts!A:P,16,FALSE)</f>
        <v>C15RWPNMH747</v>
      </c>
      <c r="E500" t="s">
        <v>528</v>
      </c>
      <c r="F500" s="1">
        <v>45200</v>
      </c>
      <c r="G500" t="s">
        <v>529</v>
      </c>
      <c r="H500" t="s">
        <v>530</v>
      </c>
      <c r="I500" s="59">
        <f>VLOOKUP(A500,'611'!D:F,3,FALSE)</f>
        <v>893453.23</v>
      </c>
      <c r="J500" s="59">
        <f>VLOOKUP(A500,'611'!D:Q,14,FALSE)</f>
        <v>893453.23</v>
      </c>
      <c r="K500" s="59">
        <f>VLOOKUP(A500,'611'!D:Q,14,FALSE)</f>
        <v>893453.23</v>
      </c>
      <c r="O500" t="s">
        <v>531</v>
      </c>
      <c r="P500" t="str">
        <f>_xlfn.IFNA(VLOOKUP(A500,IndirectCost!B:L,11,FALSE),"")</f>
        <v/>
      </c>
      <c r="Q500">
        <f t="shared" si="7"/>
        <v>0</v>
      </c>
    </row>
    <row r="501" spans="1:17">
      <c r="A501" t="s">
        <v>1147</v>
      </c>
      <c r="B501" t="s">
        <v>1148</v>
      </c>
      <c r="C501" t="str">
        <f>VLOOKUP(A501,Districts!A:I,9,FALSE)</f>
        <v>Premier High School</v>
      </c>
      <c r="D501" t="str">
        <f>VLOOKUP(A501,Districts!A:P,16,FALSE)</f>
        <v>G1EUX14AGYZ9</v>
      </c>
      <c r="E501" t="s">
        <v>528</v>
      </c>
      <c r="F501" s="1">
        <v>45200</v>
      </c>
      <c r="G501" t="s">
        <v>529</v>
      </c>
      <c r="H501" t="s">
        <v>530</v>
      </c>
      <c r="I501" s="59">
        <f>VLOOKUP(A501,'611'!D:F,3,FALSE)</f>
        <v>33590.65</v>
      </c>
      <c r="J501" s="59">
        <f>VLOOKUP(A501,'611'!D:Q,14,FALSE)</f>
        <v>41345.89</v>
      </c>
      <c r="K501" s="59">
        <f>VLOOKUP(A501,'611'!D:Q,14,FALSE)</f>
        <v>41345.89</v>
      </c>
      <c r="O501" t="s">
        <v>531</v>
      </c>
      <c r="P501" t="str">
        <f>_xlfn.IFNA(VLOOKUP(A501,IndirectCost!B:L,11,FALSE),"")</f>
        <v/>
      </c>
      <c r="Q501">
        <f t="shared" si="7"/>
        <v>0</v>
      </c>
    </row>
    <row r="502" spans="1:17">
      <c r="A502" t="s">
        <v>1149</v>
      </c>
      <c r="B502" t="s">
        <v>1150</v>
      </c>
      <c r="C502" t="str">
        <f>VLOOKUP(A502,Districts!A:I,9,FALSE)</f>
        <v>Premier Prep Online Academy</v>
      </c>
      <c r="D502" t="str">
        <f>VLOOKUP(A502,Districts!A:P,16,FALSE)</f>
        <v>DKPVHC9HXBF5</v>
      </c>
      <c r="E502" t="s">
        <v>528</v>
      </c>
      <c r="F502" s="1">
        <v>45200</v>
      </c>
      <c r="G502" t="s">
        <v>529</v>
      </c>
      <c r="H502" t="s">
        <v>530</v>
      </c>
      <c r="I502" s="59">
        <f>VLOOKUP(A502,'611'!D:F,3,FALSE)</f>
        <v>18785.45</v>
      </c>
      <c r="J502" s="59">
        <f>VLOOKUP(A502,'611'!D:Q,14,FALSE)</f>
        <v>18785.45</v>
      </c>
      <c r="K502" s="59">
        <f>VLOOKUP(A502,'611'!D:Q,14,FALSE)</f>
        <v>18785.45</v>
      </c>
      <c r="O502" t="s">
        <v>531</v>
      </c>
      <c r="P502" t="str">
        <f>_xlfn.IFNA(VLOOKUP(A502,IndirectCost!B:L,11,FALSE),"")</f>
        <v/>
      </c>
      <c r="Q502">
        <f t="shared" si="7"/>
        <v>0</v>
      </c>
    </row>
    <row r="503" spans="1:17">
      <c r="A503" t="s">
        <v>388</v>
      </c>
      <c r="B503" t="s">
        <v>1151</v>
      </c>
      <c r="C503" t="str">
        <f>VLOOKUP(A503,Districts!A:I,9,FALSE)</f>
        <v>Prescott Unified School District 1</v>
      </c>
      <c r="D503" t="str">
        <f>VLOOKUP(A503,Districts!A:P,16,FALSE)</f>
        <v>VYFKZQ6AJTB4</v>
      </c>
      <c r="E503" t="s">
        <v>528</v>
      </c>
      <c r="F503" s="1">
        <v>45200</v>
      </c>
      <c r="G503" t="s">
        <v>529</v>
      </c>
      <c r="H503" t="s">
        <v>530</v>
      </c>
      <c r="I503" s="59">
        <f>VLOOKUP(A503,'611'!D:F,3,FALSE)</f>
        <v>970275.97</v>
      </c>
      <c r="J503" s="59">
        <f>VLOOKUP(A503,'611'!D:Q,14,FALSE)</f>
        <v>1211066.68</v>
      </c>
      <c r="K503" s="59">
        <f>VLOOKUP(A503,'611'!D:Q,14,FALSE)</f>
        <v>1211066.68</v>
      </c>
      <c r="O503" t="s">
        <v>531</v>
      </c>
      <c r="P503">
        <f>_xlfn.IFNA(VLOOKUP(A503,IndirectCost!B:L,11,FALSE),"")</f>
        <v>4.05</v>
      </c>
      <c r="Q503">
        <f t="shared" si="7"/>
        <v>4.0500000000000001E-2</v>
      </c>
    </row>
    <row r="504" spans="1:17">
      <c r="A504" t="s">
        <v>389</v>
      </c>
      <c r="B504" t="s">
        <v>1152</v>
      </c>
      <c r="C504" t="str">
        <f>VLOOKUP(A504,Districts!A:I,9,FALSE)</f>
        <v>Prescott Valley Charter School</v>
      </c>
      <c r="D504" t="str">
        <f>VLOOKUP(A504,Districts!A:P,16,FALSE)</f>
        <v>D13QQKNYKAC1</v>
      </c>
      <c r="E504" t="s">
        <v>528</v>
      </c>
      <c r="F504" s="1">
        <v>45200</v>
      </c>
      <c r="G504" t="s">
        <v>529</v>
      </c>
      <c r="H504" t="s">
        <v>530</v>
      </c>
      <c r="I504" s="59">
        <f>VLOOKUP(A504,'611'!D:F,3,FALSE)</f>
        <v>81680.42</v>
      </c>
      <c r="J504" s="59">
        <f>VLOOKUP(A504,'611'!D:Q,14,FALSE)</f>
        <v>81680.42</v>
      </c>
      <c r="K504" s="59">
        <f>VLOOKUP(A504,'611'!D:Q,14,FALSE)</f>
        <v>81680.42</v>
      </c>
      <c r="O504" t="s">
        <v>531</v>
      </c>
      <c r="P504">
        <f>_xlfn.IFNA(VLOOKUP(A504,IndirectCost!B:L,11,FALSE),"")</f>
        <v>0</v>
      </c>
      <c r="Q504">
        <f t="shared" si="7"/>
        <v>0</v>
      </c>
    </row>
    <row r="505" spans="1:17">
      <c r="A505" t="s">
        <v>390</v>
      </c>
      <c r="B505" t="s">
        <v>1153</v>
      </c>
      <c r="C505" t="str">
        <f>VLOOKUP(A505,Districts!A:I,9,FALSE)</f>
        <v>Presidio School</v>
      </c>
      <c r="D505" t="str">
        <f>VLOOKUP(A505,Districts!A:P,16,FALSE)</f>
        <v>LB6YDM6DB6J9</v>
      </c>
      <c r="E505" t="s">
        <v>528</v>
      </c>
      <c r="F505" s="1">
        <v>45200</v>
      </c>
      <c r="G505" t="s">
        <v>529</v>
      </c>
      <c r="H505" t="s">
        <v>530</v>
      </c>
      <c r="I505" s="59">
        <f>VLOOKUP(A505,'611'!D:F,3,FALSE)</f>
        <v>82985.039999999994</v>
      </c>
      <c r="J505" s="59">
        <f>VLOOKUP(A505,'611'!D:Q,14,FALSE)</f>
        <v>82985.039999999994</v>
      </c>
      <c r="K505" s="59">
        <f>VLOOKUP(A505,'611'!D:Q,14,FALSE)</f>
        <v>82985.039999999994</v>
      </c>
      <c r="O505" t="s">
        <v>531</v>
      </c>
      <c r="P505" t="str">
        <f>_xlfn.IFNA(VLOOKUP(A505,IndirectCost!B:L,11,FALSE),"")</f>
        <v/>
      </c>
      <c r="Q505">
        <f t="shared" si="7"/>
        <v>0</v>
      </c>
    </row>
    <row r="506" spans="1:17">
      <c r="A506" t="s">
        <v>391</v>
      </c>
      <c r="B506" t="s">
        <v>1154</v>
      </c>
      <c r="C506" t="str">
        <f>VLOOKUP(A506,Districts!A:I,9,FALSE)</f>
        <v>Quartzsite Elementary School District 4</v>
      </c>
      <c r="D506" t="str">
        <f>VLOOKUP(A506,Districts!A:P,16,FALSE)</f>
        <v>G6MUW5NUSUT4</v>
      </c>
      <c r="E506" t="s">
        <v>528</v>
      </c>
      <c r="F506" s="1">
        <v>45200</v>
      </c>
      <c r="G506" t="s">
        <v>529</v>
      </c>
      <c r="H506" t="s">
        <v>530</v>
      </c>
      <c r="I506" s="59">
        <f>VLOOKUP(A506,'611'!D:F,3,FALSE)</f>
        <v>46644.53</v>
      </c>
      <c r="J506" s="59">
        <f>VLOOKUP(A506,'611'!D:Q,14,FALSE)</f>
        <v>87985.91</v>
      </c>
      <c r="K506" s="59">
        <f>VLOOKUP(A506,'611'!D:Q,14,FALSE)</f>
        <v>87985.91</v>
      </c>
      <c r="O506" t="s">
        <v>531</v>
      </c>
      <c r="P506">
        <f>_xlfn.IFNA(VLOOKUP(A506,IndirectCost!B:L,11,FALSE),"")</f>
        <v>0</v>
      </c>
      <c r="Q506">
        <f t="shared" si="7"/>
        <v>0</v>
      </c>
    </row>
    <row r="507" spans="1:17">
      <c r="A507" t="s">
        <v>392</v>
      </c>
      <c r="B507" t="s">
        <v>1155</v>
      </c>
      <c r="C507" t="str">
        <f>VLOOKUP(A507,Districts!A:I,9,FALSE)</f>
        <v>Queen Creek Unified School District #95</v>
      </c>
      <c r="D507" t="str">
        <f>VLOOKUP(A507,Districts!A:P,16,FALSE)</f>
        <v>V9NPJQUELGB7</v>
      </c>
      <c r="E507" t="s">
        <v>528</v>
      </c>
      <c r="F507" s="1">
        <v>45200</v>
      </c>
      <c r="G507" t="s">
        <v>529</v>
      </c>
      <c r="H507" t="s">
        <v>530</v>
      </c>
      <c r="I507" s="59">
        <f>VLOOKUP(A507,'611'!D:F,3,FALSE)</f>
        <v>2022079.36</v>
      </c>
      <c r="J507" s="59">
        <f>VLOOKUP(A507,'611'!D:Q,14,FALSE)</f>
        <v>2048315.08</v>
      </c>
      <c r="K507" s="59">
        <f>VLOOKUP(A507,'611'!D:Q,14,FALSE)</f>
        <v>2048315.08</v>
      </c>
      <c r="O507" t="s">
        <v>531</v>
      </c>
      <c r="P507">
        <f>_xlfn.IFNA(VLOOKUP(A507,IndirectCost!B:L,11,FALSE),"")</f>
        <v>8</v>
      </c>
      <c r="Q507">
        <f t="shared" si="7"/>
        <v>0.08</v>
      </c>
    </row>
    <row r="508" spans="1:17">
      <c r="A508" t="s">
        <v>393</v>
      </c>
      <c r="B508" t="s">
        <v>1156</v>
      </c>
      <c r="C508" t="str">
        <f>VLOOKUP(A508,Districts!A:I,9,FALSE)</f>
        <v>Ray Unified School District 3</v>
      </c>
      <c r="D508" t="str">
        <f>VLOOKUP(A508,Districts!A:P,16,FALSE)</f>
        <v>SJKWHFR8LCN1</v>
      </c>
      <c r="E508" t="s">
        <v>528</v>
      </c>
      <c r="F508" s="1">
        <v>45200</v>
      </c>
      <c r="G508" t="s">
        <v>529</v>
      </c>
      <c r="H508" t="s">
        <v>530</v>
      </c>
      <c r="I508" s="59">
        <f>VLOOKUP(A508,'611'!D:F,3,FALSE)</f>
        <v>87876.6</v>
      </c>
      <c r="J508" s="59">
        <f>VLOOKUP(A508,'611'!D:Q,14,FALSE)</f>
        <v>102466.15</v>
      </c>
      <c r="K508" s="59">
        <f>VLOOKUP(A508,'611'!D:Q,14,FALSE)</f>
        <v>102466.15</v>
      </c>
      <c r="O508" t="s">
        <v>531</v>
      </c>
      <c r="P508">
        <f>_xlfn.IFNA(VLOOKUP(A508,IndirectCost!B:L,11,FALSE),"")</f>
        <v>8</v>
      </c>
      <c r="Q508">
        <f t="shared" si="7"/>
        <v>0.08</v>
      </c>
    </row>
    <row r="509" spans="1:17">
      <c r="A509" t="s">
        <v>394</v>
      </c>
      <c r="B509" t="s">
        <v>1157</v>
      </c>
      <c r="C509" t="str">
        <f>VLOOKUP(A509,Districts!A:I,9,FALSE)</f>
        <v>Red Mesa Unified School District No. 27</v>
      </c>
      <c r="D509" t="str">
        <f>VLOOKUP(A509,Districts!A:P,16,FALSE)</f>
        <v>KBHJQL7WAKS5</v>
      </c>
      <c r="E509" t="s">
        <v>528</v>
      </c>
      <c r="F509" s="1">
        <v>45200</v>
      </c>
      <c r="G509" t="s">
        <v>529</v>
      </c>
      <c r="H509" t="s">
        <v>530</v>
      </c>
      <c r="I509" s="59">
        <f>VLOOKUP(A509,'611'!D:F,3,FALSE)</f>
        <v>138257.04</v>
      </c>
      <c r="J509" s="59">
        <f>VLOOKUP(A509,'611'!D:Q,14,FALSE)</f>
        <v>163017.26999999999</v>
      </c>
      <c r="K509" s="59">
        <f>VLOOKUP(A509,'611'!D:Q,14,FALSE)</f>
        <v>163017.26999999999</v>
      </c>
      <c r="O509" t="s">
        <v>531</v>
      </c>
      <c r="P509">
        <f>_xlfn.IFNA(VLOOKUP(A509,IndirectCost!B:L,11,FALSE),"")</f>
        <v>8</v>
      </c>
      <c r="Q509">
        <f t="shared" si="7"/>
        <v>0.08</v>
      </c>
    </row>
    <row r="510" spans="1:17">
      <c r="A510" t="s">
        <v>395</v>
      </c>
      <c r="B510" t="s">
        <v>1158</v>
      </c>
      <c r="C510" t="str">
        <f>VLOOKUP(A510,Districts!A:I,9,FALSE)</f>
        <v>RED ROCK ELEMENTARY SCHOOL DISTRICT</v>
      </c>
      <c r="D510" t="str">
        <f>VLOOKUP(A510,Districts!A:P,16,FALSE)</f>
        <v>F45SUKWBWES1</v>
      </c>
      <c r="E510" t="s">
        <v>528</v>
      </c>
      <c r="F510" s="1">
        <v>45200</v>
      </c>
      <c r="G510" t="s">
        <v>529</v>
      </c>
      <c r="H510" t="s">
        <v>530</v>
      </c>
      <c r="I510" s="59">
        <f>VLOOKUP(A510,'611'!D:F,3,FALSE)</f>
        <v>72772.350000000006</v>
      </c>
      <c r="J510" s="59">
        <f>VLOOKUP(A510,'611'!D:Q,14,FALSE)</f>
        <v>74500.679999999993</v>
      </c>
      <c r="K510" s="59">
        <f>VLOOKUP(A510,'611'!D:Q,14,FALSE)</f>
        <v>74500.679999999993</v>
      </c>
      <c r="O510" t="s">
        <v>531</v>
      </c>
      <c r="P510">
        <f>_xlfn.IFNA(VLOOKUP(A510,IndirectCost!B:L,11,FALSE),"")</f>
        <v>8</v>
      </c>
      <c r="Q510">
        <f t="shared" si="7"/>
        <v>0.08</v>
      </c>
    </row>
    <row r="511" spans="1:17">
      <c r="A511" t="s">
        <v>396</v>
      </c>
      <c r="B511" t="s">
        <v>1159</v>
      </c>
      <c r="C511" t="str">
        <f>VLOOKUP(A511,Districts!A:I,9,FALSE)</f>
        <v>Reid Traditional Schools Painted Rock Academy Inc</v>
      </c>
      <c r="D511" t="str">
        <f>VLOOKUP(A511,Districts!A:P,16,FALSE)</f>
        <v>H9DRVXWC2MT4</v>
      </c>
      <c r="E511" t="s">
        <v>528</v>
      </c>
      <c r="F511" s="1">
        <v>45200</v>
      </c>
      <c r="G511" t="s">
        <v>529</v>
      </c>
      <c r="H511" t="s">
        <v>530</v>
      </c>
      <c r="I511" s="59">
        <f>VLOOKUP(A511,'611'!D:F,3,FALSE)</f>
        <v>74132.600000000006</v>
      </c>
      <c r="J511" s="59">
        <f>VLOOKUP(A511,'611'!D:Q,14,FALSE)</f>
        <v>74132.600000000006</v>
      </c>
      <c r="K511" s="59">
        <f>VLOOKUP(A511,'611'!D:Q,14,FALSE)</f>
        <v>74132.600000000006</v>
      </c>
      <c r="O511" t="s">
        <v>531</v>
      </c>
      <c r="P511" t="str">
        <f>_xlfn.IFNA(VLOOKUP(A511,IndirectCost!B:L,11,FALSE),"")</f>
        <v/>
      </c>
      <c r="Q511">
        <f t="shared" si="7"/>
        <v>0</v>
      </c>
    </row>
    <row r="512" spans="1:17">
      <c r="A512" t="s">
        <v>397</v>
      </c>
      <c r="B512" t="s">
        <v>1160</v>
      </c>
      <c r="C512" t="str">
        <f>VLOOKUP(A512,Districts!A:I,9,FALSE)</f>
        <v>VALLEY ACADEMY, INC.</v>
      </c>
      <c r="D512" t="str">
        <f>VLOOKUP(A512,Districts!A:P,16,FALSE)</f>
        <v>K2QYCERJMFV9</v>
      </c>
      <c r="E512" t="s">
        <v>528</v>
      </c>
      <c r="F512" s="1">
        <v>45200</v>
      </c>
      <c r="G512" t="s">
        <v>529</v>
      </c>
      <c r="H512" t="s">
        <v>530</v>
      </c>
      <c r="I512" s="59">
        <f>VLOOKUP(A512,'611'!D:F,3,FALSE)</f>
        <v>111013.3</v>
      </c>
      <c r="J512" s="59">
        <f>VLOOKUP(A512,'611'!D:Q,14,FALSE)</f>
        <v>111013.3</v>
      </c>
      <c r="K512" s="59">
        <f>VLOOKUP(A512,'611'!D:Q,14,FALSE)</f>
        <v>111013.3</v>
      </c>
      <c r="O512" t="s">
        <v>531</v>
      </c>
      <c r="P512" t="str">
        <f>_xlfn.IFNA(VLOOKUP(A512,IndirectCost!B:L,11,FALSE),"")</f>
        <v/>
      </c>
      <c r="Q512">
        <f t="shared" si="7"/>
        <v>0</v>
      </c>
    </row>
    <row r="513" spans="1:17">
      <c r="A513" t="s">
        <v>398</v>
      </c>
      <c r="B513" t="s">
        <v>1161</v>
      </c>
      <c r="C513" t="str">
        <f>VLOOKUP(A513,Districts!A:I,9,FALSE)</f>
        <v>Research Based Education Corportaion</v>
      </c>
      <c r="D513" t="str">
        <f>VLOOKUP(A513,Districts!A:P,16,FALSE)</f>
        <v>DTMWFX7JMCZ1</v>
      </c>
      <c r="E513" t="s">
        <v>528</v>
      </c>
      <c r="F513" s="1">
        <v>45200</v>
      </c>
      <c r="G513" t="s">
        <v>529</v>
      </c>
      <c r="H513" t="s">
        <v>530</v>
      </c>
      <c r="I513" s="59">
        <f>VLOOKUP(A513,'611'!D:F,3,FALSE)</f>
        <v>17599.34</v>
      </c>
      <c r="J513" s="59">
        <f>VLOOKUP(A513,'611'!D:Q,14,FALSE)</f>
        <v>17599.34</v>
      </c>
      <c r="K513" s="59">
        <f>VLOOKUP(A513,'611'!D:Q,14,FALSE)</f>
        <v>17599.34</v>
      </c>
      <c r="O513" t="s">
        <v>531</v>
      </c>
      <c r="P513" t="str">
        <f>_xlfn.IFNA(VLOOKUP(A513,IndirectCost!B:L,11,FALSE),"")</f>
        <v/>
      </c>
      <c r="Q513">
        <f t="shared" si="7"/>
        <v>0</v>
      </c>
    </row>
    <row r="514" spans="1:17">
      <c r="A514" t="s">
        <v>399</v>
      </c>
      <c r="B514" t="s">
        <v>1162</v>
      </c>
      <c r="C514" t="str">
        <f>VLOOKUP(A514,Districts!A:I,9,FALSE)</f>
        <v>Ridgeline Academy, Inc.</v>
      </c>
      <c r="D514" t="str">
        <f>VLOOKUP(A514,Districts!A:P,16,FALSE)</f>
        <v>W3MDTY4J3D75</v>
      </c>
      <c r="E514" t="s">
        <v>528</v>
      </c>
      <c r="F514" s="1">
        <v>45200</v>
      </c>
      <c r="G514" t="s">
        <v>529</v>
      </c>
      <c r="H514" t="s">
        <v>530</v>
      </c>
      <c r="I514" s="59">
        <f>VLOOKUP(A514,'611'!D:F,3,FALSE)</f>
        <v>136723.49</v>
      </c>
      <c r="J514" s="59">
        <f>VLOOKUP(A514,'611'!D:Q,14,FALSE)</f>
        <v>136723.49</v>
      </c>
      <c r="K514" s="59">
        <f>VLOOKUP(A514,'611'!D:Q,14,FALSE)</f>
        <v>136723.49</v>
      </c>
      <c r="O514" t="s">
        <v>531</v>
      </c>
      <c r="P514" t="str">
        <f>_xlfn.IFNA(VLOOKUP(A514,IndirectCost!B:L,11,FALSE),"")</f>
        <v/>
      </c>
      <c r="Q514">
        <f t="shared" si="7"/>
        <v>0</v>
      </c>
    </row>
    <row r="515" spans="1:17">
      <c r="A515" t="s">
        <v>400</v>
      </c>
      <c r="B515" t="s">
        <v>1163</v>
      </c>
      <c r="C515" t="str">
        <f>VLOOKUP(A515,Districts!A:I,9,FALSE)</f>
        <v>Riverside School District #2</v>
      </c>
      <c r="D515" t="str">
        <f>VLOOKUP(A515,Districts!A:P,16,FALSE)</f>
        <v>U3NFPCUK2WA8</v>
      </c>
      <c r="E515" t="s">
        <v>528</v>
      </c>
      <c r="F515" s="1">
        <v>45200</v>
      </c>
      <c r="G515" t="s">
        <v>529</v>
      </c>
      <c r="H515" t="s">
        <v>530</v>
      </c>
      <c r="I515" s="59">
        <f>VLOOKUP(A515,'611'!D:F,3,FALSE)</f>
        <v>139800.29999999999</v>
      </c>
      <c r="J515" s="59">
        <f>VLOOKUP(A515,'611'!D:Q,14,FALSE)</f>
        <v>139800.29999999999</v>
      </c>
      <c r="K515" s="59">
        <f>VLOOKUP(A515,'611'!D:Q,14,FALSE)</f>
        <v>139800.29999999999</v>
      </c>
      <c r="O515" t="s">
        <v>531</v>
      </c>
      <c r="P515">
        <f>_xlfn.IFNA(VLOOKUP(A515,IndirectCost!B:L,11,FALSE),"")</f>
        <v>8</v>
      </c>
      <c r="Q515">
        <f t="shared" si="7"/>
        <v>0.08</v>
      </c>
    </row>
    <row r="516" spans="1:17">
      <c r="A516" t="s">
        <v>401</v>
      </c>
      <c r="B516" t="s">
        <v>1164</v>
      </c>
      <c r="C516" t="str">
        <f>VLOOKUP(A516,Districts!A:I,9,FALSE)</f>
        <v>Roosevelt School District</v>
      </c>
      <c r="D516" t="str">
        <f>VLOOKUP(A516,Districts!A:P,16,FALSE)</f>
        <v>FD6CBP5CTYR5</v>
      </c>
      <c r="E516" t="s">
        <v>528</v>
      </c>
      <c r="F516" s="1">
        <v>45200</v>
      </c>
      <c r="G516" t="s">
        <v>529</v>
      </c>
      <c r="H516" t="s">
        <v>530</v>
      </c>
      <c r="I516" s="59">
        <f>VLOOKUP(A516,'611'!D:F,3,FALSE)</f>
        <v>1802970.79</v>
      </c>
      <c r="J516" s="59">
        <f>VLOOKUP(A516,'611'!D:Q,14,FALSE)</f>
        <v>2265878.31</v>
      </c>
      <c r="K516" s="59">
        <f>VLOOKUP(A516,'611'!D:Q,14,FALSE)</f>
        <v>2265878.31</v>
      </c>
      <c r="O516" t="s">
        <v>531</v>
      </c>
      <c r="P516">
        <f>_xlfn.IFNA(VLOOKUP(A516,IndirectCost!B:L,11,FALSE),"")</f>
        <v>0</v>
      </c>
      <c r="Q516">
        <f t="shared" ref="Q516:Q579" si="8">IFERROR(P516/100,0)</f>
        <v>0</v>
      </c>
    </row>
    <row r="517" spans="1:17">
      <c r="A517" t="s">
        <v>402</v>
      </c>
      <c r="B517" t="s">
        <v>1165</v>
      </c>
      <c r="C517" t="str">
        <f>VLOOKUP(A517,Districts!A:I,9,FALSE)</f>
        <v>Roosevelt Preparatory Academy</v>
      </c>
      <c r="D517" t="str">
        <f>VLOOKUP(A517,Districts!A:P,16,FALSE)</f>
        <v>P8MELM2L9LB8</v>
      </c>
      <c r="E517" t="s">
        <v>528</v>
      </c>
      <c r="F517" s="1">
        <v>45200</v>
      </c>
      <c r="G517" t="s">
        <v>529</v>
      </c>
      <c r="H517" t="s">
        <v>530</v>
      </c>
      <c r="I517" s="59">
        <f>VLOOKUP(A517,'611'!D:F,3,FALSE)</f>
        <v>97486.81</v>
      </c>
      <c r="J517" s="59">
        <f>VLOOKUP(A517,'611'!D:Q,14,FALSE)</f>
        <v>145961.85999999999</v>
      </c>
      <c r="K517" s="59">
        <f>VLOOKUP(A517,'611'!D:Q,14,FALSE)</f>
        <v>145961.85999999999</v>
      </c>
      <c r="O517" t="s">
        <v>531</v>
      </c>
      <c r="P517">
        <f>_xlfn.IFNA(VLOOKUP(A517,IndirectCost!B:L,11,FALSE),"")</f>
        <v>8</v>
      </c>
      <c r="Q517">
        <f t="shared" si="8"/>
        <v>0.08</v>
      </c>
    </row>
    <row r="518" spans="1:17">
      <c r="A518" t="s">
        <v>403</v>
      </c>
      <c r="B518" t="s">
        <v>1166</v>
      </c>
      <c r="C518" t="str">
        <f>VLOOKUP(A518,Districts!A:I,9,FALSE)</f>
        <v>Rosefield Charter Elementary</v>
      </c>
      <c r="D518" t="str">
        <f>VLOOKUP(A518,Districts!A:P,16,FALSE)</f>
        <v>JR12W6R6JLF5</v>
      </c>
      <c r="E518" t="s">
        <v>528</v>
      </c>
      <c r="F518" s="1">
        <v>45200</v>
      </c>
      <c r="G518" t="s">
        <v>529</v>
      </c>
      <c r="H518" t="s">
        <v>530</v>
      </c>
      <c r="I518" s="59">
        <f>VLOOKUP(A518,'611'!D:F,3,FALSE)</f>
        <v>82157.88</v>
      </c>
      <c r="J518" s="59">
        <f>VLOOKUP(A518,'611'!D:Q,14,FALSE)</f>
        <v>95595.64</v>
      </c>
      <c r="K518" s="59">
        <f>VLOOKUP(A518,'611'!D:Q,14,FALSE)</f>
        <v>95595.64</v>
      </c>
      <c r="O518" t="s">
        <v>531</v>
      </c>
      <c r="P518" t="str">
        <f>_xlfn.IFNA(VLOOKUP(A518,IndirectCost!B:L,11,FALSE),"")</f>
        <v/>
      </c>
      <c r="Q518">
        <f t="shared" si="8"/>
        <v>0</v>
      </c>
    </row>
    <row r="519" spans="1:17">
      <c r="A519" t="s">
        <v>404</v>
      </c>
      <c r="B519" t="s">
        <v>1167</v>
      </c>
      <c r="C519" t="str">
        <f>VLOOKUP(A519,Districts!A:I,9,FALSE)</f>
        <v>Round Valley Unified School District #10</v>
      </c>
      <c r="D519" t="str">
        <f>VLOOKUP(A519,Districts!A:P,16,FALSE)</f>
        <v>MSX3HNGBX5R1</v>
      </c>
      <c r="E519" t="s">
        <v>528</v>
      </c>
      <c r="F519" s="1">
        <v>45200</v>
      </c>
      <c r="G519" t="s">
        <v>529</v>
      </c>
      <c r="H519" t="s">
        <v>530</v>
      </c>
      <c r="I519" s="59">
        <f>VLOOKUP(A519,'611'!D:F,3,FALSE)</f>
        <v>312352.2</v>
      </c>
      <c r="J519" s="59">
        <f>VLOOKUP(A519,'611'!D:Q,14,FALSE)</f>
        <v>345175.76</v>
      </c>
      <c r="K519" s="59">
        <f>VLOOKUP(A519,'611'!D:Q,14,FALSE)</f>
        <v>345175.76</v>
      </c>
      <c r="O519" t="s">
        <v>531</v>
      </c>
      <c r="P519">
        <f>_xlfn.IFNA(VLOOKUP(A519,IndirectCost!B:L,11,FALSE),"")</f>
        <v>0</v>
      </c>
      <c r="Q519">
        <f t="shared" si="8"/>
        <v>0</v>
      </c>
    </row>
    <row r="520" spans="1:17">
      <c r="A520" t="s">
        <v>405</v>
      </c>
      <c r="B520" t="s">
        <v>1168</v>
      </c>
      <c r="C520" t="str">
        <f>VLOOKUP(A520,Districts!A:I,9,FALSE)</f>
        <v>Sacaton Elementary School District</v>
      </c>
      <c r="D520" t="str">
        <f>VLOOKUP(A520,Districts!A:P,16,FALSE)</f>
        <v>FGH9YSJ58MN3</v>
      </c>
      <c r="E520" t="s">
        <v>528</v>
      </c>
      <c r="F520" s="1">
        <v>45200</v>
      </c>
      <c r="G520" t="s">
        <v>529</v>
      </c>
      <c r="H520" t="s">
        <v>530</v>
      </c>
      <c r="I520" s="59">
        <f>VLOOKUP(A520,'611'!D:F,3,FALSE)</f>
        <v>180542.56</v>
      </c>
      <c r="J520" s="59">
        <f>VLOOKUP(A520,'611'!D:Q,14,FALSE)</f>
        <v>337378.45</v>
      </c>
      <c r="K520" s="59">
        <f>VLOOKUP(A520,'611'!D:Q,14,FALSE)</f>
        <v>337378.45</v>
      </c>
      <c r="O520" t="s">
        <v>531</v>
      </c>
      <c r="P520">
        <f>_xlfn.IFNA(VLOOKUP(A520,IndirectCost!B:L,11,FALSE),"")</f>
        <v>8</v>
      </c>
      <c r="Q520">
        <f t="shared" si="8"/>
        <v>0.08</v>
      </c>
    </row>
    <row r="521" spans="1:17">
      <c r="A521" t="s">
        <v>406</v>
      </c>
      <c r="B521" t="s">
        <v>1169</v>
      </c>
      <c r="C521" t="str">
        <f>VLOOKUP(A521,Districts!A:I,9,FALSE)</f>
        <v>Saddle Mountain Unified School District</v>
      </c>
      <c r="D521" t="str">
        <f>VLOOKUP(A521,Districts!A:P,16,FALSE)</f>
        <v>TX2RENUK3ZY7</v>
      </c>
      <c r="E521" t="s">
        <v>528</v>
      </c>
      <c r="F521" s="1">
        <v>45200</v>
      </c>
      <c r="G521" t="s">
        <v>529</v>
      </c>
      <c r="H521" t="s">
        <v>530</v>
      </c>
      <c r="I521" s="59">
        <f>VLOOKUP(A521,'611'!D:F,3,FALSE)</f>
        <v>528992.59</v>
      </c>
      <c r="J521" s="59">
        <f>VLOOKUP(A521,'611'!D:Q,14,FALSE)</f>
        <v>556950.98</v>
      </c>
      <c r="K521" s="59">
        <f>VLOOKUP(A521,'611'!D:Q,14,FALSE)</f>
        <v>556950.98</v>
      </c>
      <c r="O521" t="s">
        <v>531</v>
      </c>
      <c r="P521">
        <f>_xlfn.IFNA(VLOOKUP(A521,IndirectCost!B:L,11,FALSE),"")</f>
        <v>8</v>
      </c>
      <c r="Q521">
        <f t="shared" si="8"/>
        <v>0.08</v>
      </c>
    </row>
    <row r="522" spans="1:17">
      <c r="A522" t="s">
        <v>407</v>
      </c>
      <c r="B522" t="s">
        <v>1170</v>
      </c>
      <c r="C522" t="str">
        <f>VLOOKUP(A522,Districts!A:I,9,FALSE)</f>
        <v>Safford Unified School District</v>
      </c>
      <c r="D522" t="str">
        <f>VLOOKUP(A522,Districts!A:P,16,FALSE)</f>
        <v>XDJMT3BJL8C4</v>
      </c>
      <c r="E522" t="s">
        <v>528</v>
      </c>
      <c r="F522" s="1">
        <v>45200</v>
      </c>
      <c r="G522" t="s">
        <v>529</v>
      </c>
      <c r="H522" t="s">
        <v>530</v>
      </c>
      <c r="I522" s="59">
        <f>VLOOKUP(A522,'611'!D:F,3,FALSE)</f>
        <v>615957.54</v>
      </c>
      <c r="J522" s="59">
        <f>VLOOKUP(A522,'611'!D:Q,14,FALSE)</f>
        <v>862128.1</v>
      </c>
      <c r="K522" s="59">
        <f>VLOOKUP(A522,'611'!D:Q,14,FALSE)</f>
        <v>862128.1</v>
      </c>
      <c r="O522" t="s">
        <v>531</v>
      </c>
      <c r="P522">
        <f>_xlfn.IFNA(VLOOKUP(A522,IndirectCost!B:L,11,FALSE),"")</f>
        <v>0</v>
      </c>
      <c r="Q522">
        <f t="shared" si="8"/>
        <v>0</v>
      </c>
    </row>
    <row r="523" spans="1:17">
      <c r="A523" t="s">
        <v>408</v>
      </c>
      <c r="B523" t="s">
        <v>1171</v>
      </c>
      <c r="C523" t="str">
        <f>VLOOKUP(A523,Districts!A:I,9,FALSE)</f>
        <v>Sage Academy Inc.</v>
      </c>
      <c r="D523" t="str">
        <f>VLOOKUP(A523,Districts!A:P,16,FALSE)</f>
        <v>FR9JPCLCY5K6</v>
      </c>
      <c r="E523" t="s">
        <v>528</v>
      </c>
      <c r="F523" s="1">
        <v>45200</v>
      </c>
      <c r="G523" t="s">
        <v>529</v>
      </c>
      <c r="H523" t="s">
        <v>530</v>
      </c>
      <c r="I523" s="59">
        <f>VLOOKUP(A523,'611'!D:F,3,FALSE)</f>
        <v>24374.240000000002</v>
      </c>
      <c r="J523" s="59">
        <f>VLOOKUP(A523,'611'!D:Q,14,FALSE)</f>
        <v>24374.240000000002</v>
      </c>
      <c r="K523" s="59">
        <f>VLOOKUP(A523,'611'!D:Q,14,FALSE)</f>
        <v>24374.240000000002</v>
      </c>
      <c r="O523" t="s">
        <v>531</v>
      </c>
      <c r="P523" t="str">
        <f>_xlfn.IFNA(VLOOKUP(A523,IndirectCost!B:L,11,FALSE),"")</f>
        <v/>
      </c>
      <c r="Q523">
        <f t="shared" si="8"/>
        <v>0</v>
      </c>
    </row>
    <row r="524" spans="1:17">
      <c r="A524" t="s">
        <v>409</v>
      </c>
      <c r="B524" t="s">
        <v>1172</v>
      </c>
      <c r="C524" t="str">
        <f>VLOOKUP(A524,Districts!A:I,9,FALSE)</f>
        <v>Sahuarita Unified School District #30</v>
      </c>
      <c r="D524" t="str">
        <f>VLOOKUP(A524,Districts!A:P,16,FALSE)</f>
        <v>L594MNCDBRN7</v>
      </c>
      <c r="E524" t="s">
        <v>528</v>
      </c>
      <c r="F524" s="1">
        <v>45200</v>
      </c>
      <c r="G524" t="s">
        <v>529</v>
      </c>
      <c r="H524" t="s">
        <v>530</v>
      </c>
      <c r="I524" s="59">
        <f>VLOOKUP(A524,'611'!D:F,3,FALSE)</f>
        <v>1070856.47</v>
      </c>
      <c r="J524" s="59">
        <f>VLOOKUP(A524,'611'!D:Q,14,FALSE)</f>
        <v>1409971.37</v>
      </c>
      <c r="K524" s="59">
        <f>VLOOKUP(A524,'611'!D:Q,14,FALSE)</f>
        <v>1409971.37</v>
      </c>
      <c r="O524" t="s">
        <v>531</v>
      </c>
      <c r="P524">
        <f>_xlfn.IFNA(VLOOKUP(A524,IndirectCost!B:L,11,FALSE),"")</f>
        <v>5.08</v>
      </c>
      <c r="Q524">
        <f t="shared" si="8"/>
        <v>5.0799999999999998E-2</v>
      </c>
    </row>
    <row r="525" spans="1:17">
      <c r="A525" t="s">
        <v>410</v>
      </c>
      <c r="B525" t="s">
        <v>1173</v>
      </c>
      <c r="C525" t="str">
        <f>VLOOKUP(A525,Districts!A:I,9,FALSE)</f>
        <v>Salome Consolidated Elementary School District #30</v>
      </c>
      <c r="D525" t="str">
        <f>VLOOKUP(A525,Districts!A:P,16,FALSE)</f>
        <v>JQYHCKLMC4F7</v>
      </c>
      <c r="E525" t="s">
        <v>528</v>
      </c>
      <c r="F525" s="1">
        <v>45200</v>
      </c>
      <c r="G525" t="s">
        <v>529</v>
      </c>
      <c r="H525" t="s">
        <v>530</v>
      </c>
      <c r="I525" s="59">
        <f>VLOOKUP(A525,'611'!D:F,3,FALSE)</f>
        <v>33315.129999999997</v>
      </c>
      <c r="J525" s="59">
        <f>VLOOKUP(A525,'611'!D:Q,14,FALSE)</f>
        <v>37194.15</v>
      </c>
      <c r="K525" s="59">
        <f>VLOOKUP(A525,'611'!D:Q,14,FALSE)</f>
        <v>37194.15</v>
      </c>
      <c r="O525" t="s">
        <v>531</v>
      </c>
      <c r="P525">
        <f>_xlfn.IFNA(VLOOKUP(A525,IndirectCost!B:L,11,FALSE),"")</f>
        <v>8</v>
      </c>
      <c r="Q525">
        <f t="shared" si="8"/>
        <v>0.08</v>
      </c>
    </row>
    <row r="526" spans="1:17">
      <c r="A526" t="s">
        <v>1174</v>
      </c>
      <c r="B526" t="s">
        <v>1175</v>
      </c>
      <c r="C526" t="str">
        <f>VLOOKUP(A526,Districts!A:I,9,FALSE)</f>
        <v>Salt River Pima-Maricopa Indian Community dba Salt River Pima-Maricopa Community Schools</v>
      </c>
      <c r="D526" t="str">
        <f>VLOOKUP(A526,Districts!A:P,16,FALSE)</f>
        <v>CRN4QL93AHR3</v>
      </c>
      <c r="E526" t="s">
        <v>528</v>
      </c>
      <c r="F526" s="1">
        <v>45200</v>
      </c>
      <c r="G526" t="s">
        <v>529</v>
      </c>
      <c r="H526" t="s">
        <v>530</v>
      </c>
      <c r="I526" s="59">
        <f>VLOOKUP(A526,'611'!D:F,3,FALSE)</f>
        <v>32153.95</v>
      </c>
      <c r="J526" s="59">
        <f>VLOOKUP(A526,'611'!D:Q,14,FALSE)</f>
        <v>32153.95</v>
      </c>
      <c r="K526" s="59">
        <f>VLOOKUP(A526,'611'!D:Q,14,FALSE)</f>
        <v>32153.95</v>
      </c>
      <c r="O526" t="s">
        <v>531</v>
      </c>
      <c r="P526" t="str">
        <f>_xlfn.IFNA(VLOOKUP(A526,IndirectCost!B:L,11,FALSE),"")</f>
        <v/>
      </c>
      <c r="Q526">
        <f t="shared" si="8"/>
        <v>0</v>
      </c>
    </row>
    <row r="527" spans="1:17">
      <c r="A527" t="s">
        <v>411</v>
      </c>
      <c r="B527" t="s">
        <v>1176</v>
      </c>
      <c r="C527" t="str">
        <f>VLOOKUP(A527,Districts!A:I,9,FALSE)</f>
        <v>SAN CARLOS UNIFIED SCHOOL DISTRICT</v>
      </c>
      <c r="D527" t="str">
        <f>VLOOKUP(A527,Districts!A:P,16,FALSE)</f>
        <v>FFXXFLA94AB7</v>
      </c>
      <c r="E527" t="s">
        <v>528</v>
      </c>
      <c r="F527" s="1">
        <v>45200</v>
      </c>
      <c r="G527" t="s">
        <v>529</v>
      </c>
      <c r="H527" t="s">
        <v>530</v>
      </c>
      <c r="I527" s="59">
        <f>VLOOKUP(A527,'611'!D:F,3,FALSE)</f>
        <v>345935.52</v>
      </c>
      <c r="J527" s="59">
        <f>VLOOKUP(A527,'611'!D:Q,14,FALSE)</f>
        <v>520468.39</v>
      </c>
      <c r="K527" s="59">
        <f>VLOOKUP(A527,'611'!D:Q,14,FALSE)</f>
        <v>520468.39</v>
      </c>
      <c r="O527" t="s">
        <v>531</v>
      </c>
      <c r="P527">
        <f>_xlfn.IFNA(VLOOKUP(A527,IndirectCost!B:L,11,FALSE),"")</f>
        <v>7.31</v>
      </c>
      <c r="Q527">
        <f t="shared" si="8"/>
        <v>7.3099999999999998E-2</v>
      </c>
    </row>
    <row r="528" spans="1:17">
      <c r="A528" t="s">
        <v>412</v>
      </c>
      <c r="B528" t="s">
        <v>1177</v>
      </c>
      <c r="C528" t="str">
        <f>VLOOKUP(A528,Districts!A:I,9,FALSE)</f>
        <v>SAN FERNANDO SCHOOL DISTRICT</v>
      </c>
      <c r="D528" t="str">
        <f>VLOOKUP(A528,Districts!A:P,16,FALSE)</f>
        <v>DX5SS4CMA4W7</v>
      </c>
      <c r="E528" t="s">
        <v>528</v>
      </c>
      <c r="F528" s="1">
        <v>45200</v>
      </c>
      <c r="G528" t="s">
        <v>529</v>
      </c>
      <c r="H528" t="s">
        <v>530</v>
      </c>
      <c r="I528" s="59">
        <f>VLOOKUP(A528,'611'!D:F,3,FALSE)</f>
        <v>3890.93</v>
      </c>
      <c r="J528" s="59">
        <f>VLOOKUP(A528,'611'!D:Q,14,FALSE)</f>
        <v>8204.42</v>
      </c>
      <c r="K528" s="59">
        <f>VLOOKUP(A528,'611'!D:Q,14,FALSE)</f>
        <v>8204.42</v>
      </c>
      <c r="O528" t="s">
        <v>531</v>
      </c>
      <c r="P528" t="str">
        <f>_xlfn.IFNA(VLOOKUP(A528,IndirectCost!B:L,11,FALSE),"")</f>
        <v/>
      </c>
      <c r="Q528">
        <f t="shared" si="8"/>
        <v>0</v>
      </c>
    </row>
    <row r="529" spans="1:17">
      <c r="A529" t="s">
        <v>413</v>
      </c>
      <c r="B529" t="s">
        <v>1178</v>
      </c>
      <c r="C529" t="str">
        <f>VLOOKUP(A529,Districts!A:I,9,FALSE)</f>
        <v>San Simon Unified School District 18</v>
      </c>
      <c r="D529" t="str">
        <f>VLOOKUP(A529,Districts!A:P,16,FALSE)</f>
        <v>N8RQQ5XFKFX9</v>
      </c>
      <c r="E529" t="s">
        <v>528</v>
      </c>
      <c r="F529" s="1">
        <v>45200</v>
      </c>
      <c r="G529" t="s">
        <v>529</v>
      </c>
      <c r="H529" t="s">
        <v>530</v>
      </c>
      <c r="I529" s="59">
        <f>VLOOKUP(A529,'611'!D:F,3,FALSE)</f>
        <v>21732.73</v>
      </c>
      <c r="J529" s="59">
        <f>VLOOKUP(A529,'611'!D:Q,14,FALSE)</f>
        <v>27579.71</v>
      </c>
      <c r="K529" s="59">
        <f>VLOOKUP(A529,'611'!D:Q,14,FALSE)</f>
        <v>27579.71</v>
      </c>
      <c r="O529" t="s">
        <v>531</v>
      </c>
      <c r="P529" t="str">
        <f>_xlfn.IFNA(VLOOKUP(A529,IndirectCost!B:L,11,FALSE),"")</f>
        <v/>
      </c>
      <c r="Q529">
        <f t="shared" si="8"/>
        <v>0</v>
      </c>
    </row>
    <row r="530" spans="1:17">
      <c r="A530" t="s">
        <v>414</v>
      </c>
      <c r="B530" t="s">
        <v>1179</v>
      </c>
      <c r="C530" t="str">
        <f>VLOOKUP(A530,Districts!A:I,9,FALSE)</f>
        <v>San Tan Learning Center</v>
      </c>
      <c r="D530" t="str">
        <f>VLOOKUP(A530,Districts!A:P,16,FALSE)</f>
        <v>FXLFTG1L67B1</v>
      </c>
      <c r="E530" t="s">
        <v>528</v>
      </c>
      <c r="F530" s="1">
        <v>45200</v>
      </c>
      <c r="G530" t="s">
        <v>529</v>
      </c>
      <c r="H530" t="s">
        <v>530</v>
      </c>
      <c r="I530" s="59">
        <f>VLOOKUP(A530,'611'!D:F,3,FALSE)</f>
        <v>115595.84</v>
      </c>
      <c r="J530" s="59">
        <f>VLOOKUP(A530,'611'!D:Q,14,FALSE)</f>
        <v>115595.84</v>
      </c>
      <c r="K530" s="59">
        <f>VLOOKUP(A530,'611'!D:Q,14,FALSE)</f>
        <v>115595.84</v>
      </c>
      <c r="O530" t="s">
        <v>531</v>
      </c>
      <c r="P530" t="str">
        <f>_xlfn.IFNA(VLOOKUP(A530,IndirectCost!B:L,11,FALSE),"")</f>
        <v/>
      </c>
      <c r="Q530">
        <f t="shared" si="8"/>
        <v>0</v>
      </c>
    </row>
    <row r="531" spans="1:17">
      <c r="A531" t="s">
        <v>415</v>
      </c>
      <c r="B531" t="s">
        <v>1180</v>
      </c>
      <c r="C531" t="str">
        <f>VLOOKUP(A531,Districts!A:I,9,FALSE)</f>
        <v>Sanders Unified School District No. 18</v>
      </c>
      <c r="D531" t="str">
        <f>VLOOKUP(A531,Districts!A:P,16,FALSE)</f>
        <v>MXSLB6SCUAR5</v>
      </c>
      <c r="E531" t="s">
        <v>528</v>
      </c>
      <c r="F531" s="1">
        <v>45200</v>
      </c>
      <c r="G531" t="s">
        <v>529</v>
      </c>
      <c r="H531" t="s">
        <v>530</v>
      </c>
      <c r="I531" s="59">
        <f>VLOOKUP(A531,'611'!D:F,3,FALSE)</f>
        <v>174269.5</v>
      </c>
      <c r="J531" s="59">
        <f>VLOOKUP(A531,'611'!D:Q,14,FALSE)</f>
        <v>212101.24</v>
      </c>
      <c r="K531" s="59">
        <f>VLOOKUP(A531,'611'!D:Q,14,FALSE)</f>
        <v>212101.24</v>
      </c>
      <c r="O531" t="s">
        <v>531</v>
      </c>
      <c r="P531">
        <f>_xlfn.IFNA(VLOOKUP(A531,IndirectCost!B:L,11,FALSE),"")</f>
        <v>5.33</v>
      </c>
      <c r="Q531">
        <f t="shared" si="8"/>
        <v>5.33E-2</v>
      </c>
    </row>
    <row r="532" spans="1:17">
      <c r="A532" t="s">
        <v>1181</v>
      </c>
      <c r="B532" t="s">
        <v>1182</v>
      </c>
      <c r="C532" t="str">
        <f>VLOOKUP(A532,Districts!A:I,9,FALSE)</f>
        <v>Santa Cruz County of Board of Supervisors</v>
      </c>
      <c r="D532" t="str">
        <f>VLOOKUP(A532,Districts!A:P,16,FALSE)</f>
        <v>UVLVR8CN2FM4</v>
      </c>
      <c r="E532" t="s">
        <v>528</v>
      </c>
      <c r="F532" s="1">
        <v>45200</v>
      </c>
      <c r="G532" t="s">
        <v>529</v>
      </c>
      <c r="H532" t="s">
        <v>530</v>
      </c>
      <c r="I532" s="59">
        <f>VLOOKUP(A532,'611'!D:F,3,FALSE)</f>
        <v>433.52</v>
      </c>
      <c r="J532" s="59">
        <f>VLOOKUP(A532,'611'!D:Q,14,FALSE)</f>
        <v>433.52</v>
      </c>
      <c r="K532" s="59">
        <f>VLOOKUP(A532,'611'!D:Q,14,FALSE)</f>
        <v>433.52</v>
      </c>
      <c r="O532" t="s">
        <v>531</v>
      </c>
      <c r="P532" t="str">
        <f>_xlfn.IFNA(VLOOKUP(A532,IndirectCost!B:L,11,FALSE),"")</f>
        <v/>
      </c>
      <c r="Q532">
        <f t="shared" si="8"/>
        <v>0</v>
      </c>
    </row>
    <row r="533" spans="1:17">
      <c r="A533" t="s">
        <v>416</v>
      </c>
      <c r="B533" t="s">
        <v>1183</v>
      </c>
      <c r="C533" t="str">
        <f>VLOOKUP(A533,Districts!A:I,9,FALSE)</f>
        <v>Santa Cruz Elementary School District #28</v>
      </c>
      <c r="D533" t="str">
        <f>VLOOKUP(A533,Districts!A:P,16,FALSE)</f>
        <v>K5GJFJH2UKC4</v>
      </c>
      <c r="E533" t="s">
        <v>528</v>
      </c>
      <c r="F533" s="1">
        <v>45200</v>
      </c>
      <c r="G533" t="s">
        <v>529</v>
      </c>
      <c r="H533" t="s">
        <v>530</v>
      </c>
      <c r="I533" s="59">
        <f>VLOOKUP(A533,'611'!D:F,3,FALSE)</f>
        <v>42078.46</v>
      </c>
      <c r="J533" s="59">
        <f>VLOOKUP(A533,'611'!D:Q,14,FALSE)</f>
        <v>42304.95</v>
      </c>
      <c r="K533" s="59">
        <f>VLOOKUP(A533,'611'!D:Q,14,FALSE)</f>
        <v>42304.95</v>
      </c>
      <c r="O533" t="s">
        <v>531</v>
      </c>
      <c r="P533">
        <f>_xlfn.IFNA(VLOOKUP(A533,IndirectCost!B:L,11,FALSE),"")</f>
        <v>4.54</v>
      </c>
      <c r="Q533">
        <f t="shared" si="8"/>
        <v>4.5400000000000003E-2</v>
      </c>
    </row>
    <row r="534" spans="1:17">
      <c r="A534" t="s">
        <v>417</v>
      </c>
      <c r="B534" t="s">
        <v>1184</v>
      </c>
      <c r="C534" t="str">
        <f>VLOOKUP(A534,Districts!A:I,9,FALSE)</f>
        <v>Santa Cruz Valley Opportu</v>
      </c>
      <c r="D534" t="str">
        <f>VLOOKUP(A534,Districts!A:P,16,FALSE)</f>
        <v>K5L8RFMVLEN9</v>
      </c>
      <c r="E534" t="s">
        <v>528</v>
      </c>
      <c r="F534" s="1">
        <v>45200</v>
      </c>
      <c r="G534" t="s">
        <v>529</v>
      </c>
      <c r="H534" t="s">
        <v>530</v>
      </c>
      <c r="I534" s="59">
        <f>VLOOKUP(A534,'611'!D:F,3,FALSE)</f>
        <v>13854.61</v>
      </c>
      <c r="J534" s="59">
        <f>VLOOKUP(A534,'611'!D:Q,14,FALSE)</f>
        <v>13854.61</v>
      </c>
      <c r="K534" s="59">
        <f>VLOOKUP(A534,'611'!D:Q,14,FALSE)</f>
        <v>13854.61</v>
      </c>
      <c r="O534" t="s">
        <v>531</v>
      </c>
      <c r="P534">
        <f>_xlfn.IFNA(VLOOKUP(A534,IndirectCost!B:L,11,FALSE),"")</f>
        <v>8</v>
      </c>
      <c r="Q534">
        <f t="shared" si="8"/>
        <v>0.08</v>
      </c>
    </row>
    <row r="535" spans="1:17">
      <c r="A535" t="s">
        <v>418</v>
      </c>
      <c r="B535" t="s">
        <v>1185</v>
      </c>
      <c r="C535" t="str">
        <f>VLOOKUP(A535,Districts!A:I,9,FALSE)</f>
        <v>Santa Cruz Valley Unified School District 35</v>
      </c>
      <c r="D535" t="str">
        <f>VLOOKUP(A535,Districts!A:P,16,FALSE)</f>
        <v>XCGQCHM32SE9</v>
      </c>
      <c r="E535" t="s">
        <v>528</v>
      </c>
      <c r="F535" s="1">
        <v>45200</v>
      </c>
      <c r="G535" t="s">
        <v>529</v>
      </c>
      <c r="H535" t="s">
        <v>530</v>
      </c>
      <c r="I535" s="59">
        <f>VLOOKUP(A535,'611'!D:F,3,FALSE)</f>
        <v>691686.95</v>
      </c>
      <c r="J535" s="59">
        <f>VLOOKUP(A535,'611'!D:Q,14,FALSE)</f>
        <v>727992.31999999995</v>
      </c>
      <c r="K535" s="59">
        <f>VLOOKUP(A535,'611'!D:Q,14,FALSE)</f>
        <v>727992.31999999995</v>
      </c>
      <c r="O535" t="s">
        <v>531</v>
      </c>
      <c r="P535">
        <f>_xlfn.IFNA(VLOOKUP(A535,IndirectCost!B:L,11,FALSE),"")</f>
        <v>3.5</v>
      </c>
      <c r="Q535">
        <f t="shared" si="8"/>
        <v>3.5000000000000003E-2</v>
      </c>
    </row>
    <row r="536" spans="1:17">
      <c r="A536" t="s">
        <v>1186</v>
      </c>
      <c r="B536" t="s">
        <v>1187</v>
      </c>
      <c r="C536" t="str">
        <f>VLOOKUP(A536,Districts!A:I,9,FALSE)</f>
        <v>Santa Cruz Valley Union High School District</v>
      </c>
      <c r="D536" t="str">
        <f>VLOOKUP(A536,Districts!A:P,16,FALSE)</f>
        <v>LZFNN2JG9V41</v>
      </c>
      <c r="E536" t="s">
        <v>528</v>
      </c>
      <c r="F536" s="1">
        <v>45200</v>
      </c>
      <c r="G536" t="s">
        <v>529</v>
      </c>
      <c r="H536" t="s">
        <v>530</v>
      </c>
      <c r="I536" s="59">
        <f>VLOOKUP(A536,'611'!D:F,3,FALSE)</f>
        <v>86393.02</v>
      </c>
      <c r="J536" s="59">
        <f>VLOOKUP(A536,'611'!D:Q,14,FALSE)</f>
        <v>94569.74</v>
      </c>
      <c r="K536" s="59">
        <f>VLOOKUP(A536,'611'!D:Q,14,FALSE)</f>
        <v>94569.74</v>
      </c>
      <c r="O536" t="s">
        <v>531</v>
      </c>
      <c r="P536">
        <f>_xlfn.IFNA(VLOOKUP(A536,IndirectCost!B:L,11,FALSE),"")</f>
        <v>8</v>
      </c>
      <c r="Q536">
        <f t="shared" si="8"/>
        <v>0.08</v>
      </c>
    </row>
    <row r="537" spans="1:17">
      <c r="A537" t="s">
        <v>1188</v>
      </c>
      <c r="B537" t="s">
        <v>1189</v>
      </c>
      <c r="C537" t="str">
        <f>VLOOKUP(A537,Districts!A:I,9,FALSE)</f>
        <v>Satori</v>
      </c>
      <c r="D537" t="str">
        <f>VLOOKUP(A537,Districts!A:P,16,FALSE)</f>
        <v>HGEDB7D86JL3</v>
      </c>
      <c r="E537" t="s">
        <v>528</v>
      </c>
      <c r="F537" s="1">
        <v>45200</v>
      </c>
      <c r="G537" t="s">
        <v>529</v>
      </c>
      <c r="H537" t="s">
        <v>530</v>
      </c>
      <c r="I537" s="59">
        <f>VLOOKUP(A537,'611'!D:F,3,FALSE)</f>
        <v>19763.78</v>
      </c>
      <c r="J537" s="59">
        <f>VLOOKUP(A537,'611'!D:Q,14,FALSE)</f>
        <v>20956.88</v>
      </c>
      <c r="K537" s="59">
        <f>VLOOKUP(A537,'611'!D:Q,14,FALSE)</f>
        <v>20956.88</v>
      </c>
      <c r="O537" t="s">
        <v>531</v>
      </c>
      <c r="P537" t="str">
        <f>_xlfn.IFNA(VLOOKUP(A537,IndirectCost!B:L,11,FALSE),"")</f>
        <v/>
      </c>
      <c r="Q537">
        <f t="shared" si="8"/>
        <v>0</v>
      </c>
    </row>
    <row r="538" spans="1:17">
      <c r="A538" t="s">
        <v>1190</v>
      </c>
      <c r="B538" t="s">
        <v>1191</v>
      </c>
      <c r="C538" t="str">
        <f>VLOOKUP(A538,Districts!A:I,9,FALSE)</f>
        <v>IntelliSchool Charter High School Chandler</v>
      </c>
      <c r="D538" t="str">
        <f>VLOOKUP(A538,Districts!A:P,16,FALSE)</f>
        <v>HDG6GTDKHLK4</v>
      </c>
      <c r="E538" t="s">
        <v>528</v>
      </c>
      <c r="F538" s="1">
        <v>45200</v>
      </c>
      <c r="G538" t="s">
        <v>529</v>
      </c>
      <c r="H538" t="s">
        <v>530</v>
      </c>
      <c r="I538" s="59">
        <f>VLOOKUP(A538,'611'!D:F,3,FALSE)</f>
        <v>11717.53</v>
      </c>
      <c r="J538" s="59">
        <f>VLOOKUP(A538,'611'!D:Q,14,FALSE)</f>
        <v>12473.96</v>
      </c>
      <c r="K538" s="59">
        <f>VLOOKUP(A538,'611'!D:Q,14,FALSE)</f>
        <v>12473.96</v>
      </c>
      <c r="O538" t="s">
        <v>531</v>
      </c>
      <c r="P538" t="str">
        <f>_xlfn.IFNA(VLOOKUP(A538,IndirectCost!B:L,11,FALSE),"")</f>
        <v/>
      </c>
      <c r="Q538">
        <f t="shared" si="8"/>
        <v>0</v>
      </c>
    </row>
    <row r="539" spans="1:17">
      <c r="A539" t="s">
        <v>419</v>
      </c>
      <c r="B539" t="s">
        <v>1192</v>
      </c>
      <c r="C539" t="str">
        <f>VLOOKUP(A539,Districts!A:I,9,FALSE)</f>
        <v>Scholars Academy Sunnyslope</v>
      </c>
      <c r="D539" t="str">
        <f>VLOOKUP(A539,Districts!A:P,16,FALSE)</f>
        <v>CQXMUL8RSKD5</v>
      </c>
      <c r="E539" t="s">
        <v>528</v>
      </c>
      <c r="F539" s="1">
        <v>45200</v>
      </c>
      <c r="G539" t="s">
        <v>529</v>
      </c>
      <c r="H539" t="s">
        <v>530</v>
      </c>
      <c r="I539" s="59">
        <f>VLOOKUP(A539,'611'!D:F,3,FALSE)</f>
        <v>47914.64</v>
      </c>
      <c r="J539" s="59">
        <f>VLOOKUP(A539,'611'!D:Q,14,FALSE)</f>
        <v>47914.64</v>
      </c>
      <c r="K539" s="59">
        <f>VLOOKUP(A539,'611'!D:Q,14,FALSE)</f>
        <v>47914.64</v>
      </c>
      <c r="O539" t="s">
        <v>531</v>
      </c>
      <c r="P539">
        <f>_xlfn.IFNA(VLOOKUP(A539,IndirectCost!B:L,11,FALSE),"")</f>
        <v>0</v>
      </c>
      <c r="Q539">
        <f t="shared" si="8"/>
        <v>0</v>
      </c>
    </row>
    <row r="540" spans="1:17">
      <c r="A540" t="s">
        <v>420</v>
      </c>
      <c r="B540" t="s">
        <v>1193</v>
      </c>
      <c r="C540" t="str">
        <f>VLOOKUP(A540,Districts!A:I,9,FALSE)</f>
        <v>Science Technology Engineering &amp; Math Arizona</v>
      </c>
      <c r="D540" t="str">
        <f>VLOOKUP(A540,Districts!A:P,16,FALSE)</f>
        <v>SATRZ3WMKS75</v>
      </c>
      <c r="E540" t="s">
        <v>528</v>
      </c>
      <c r="F540" s="1">
        <v>45200</v>
      </c>
      <c r="G540" t="s">
        <v>529</v>
      </c>
      <c r="H540" t="s">
        <v>530</v>
      </c>
      <c r="I540" s="59">
        <f>VLOOKUP(A540,'611'!D:F,3,FALSE)</f>
        <v>41432.54</v>
      </c>
      <c r="J540" s="59">
        <f>VLOOKUP(A540,'611'!D:Q,14,FALSE)</f>
        <v>41432.54</v>
      </c>
      <c r="K540" s="59">
        <f>VLOOKUP(A540,'611'!D:Q,14,FALSE)</f>
        <v>41432.54</v>
      </c>
      <c r="O540" t="s">
        <v>531</v>
      </c>
      <c r="P540">
        <f>_xlfn.IFNA(VLOOKUP(A540,IndirectCost!B:L,11,FALSE),"")</f>
        <v>8</v>
      </c>
      <c r="Q540">
        <f t="shared" si="8"/>
        <v>0.08</v>
      </c>
    </row>
    <row r="541" spans="1:17">
      <c r="A541" t="s">
        <v>421</v>
      </c>
      <c r="B541" t="s">
        <v>1194</v>
      </c>
      <c r="C541" t="str">
        <f>VLOOKUP(A541,Districts!A:I,9,FALSE)</f>
        <v>Scottsdale Country Day School</v>
      </c>
      <c r="D541" t="str">
        <f>VLOOKUP(A541,Districts!A:P,16,FALSE)</f>
        <v>NLQ4E6M7L4Q5</v>
      </c>
      <c r="E541" t="s">
        <v>528</v>
      </c>
      <c r="F541" s="1">
        <v>45200</v>
      </c>
      <c r="G541" t="s">
        <v>529</v>
      </c>
      <c r="H541" t="s">
        <v>530</v>
      </c>
      <c r="I541" s="59">
        <f>VLOOKUP(A541,'611'!D:F,3,FALSE)</f>
        <v>18914.25</v>
      </c>
      <c r="J541" s="59">
        <f>VLOOKUP(A541,'611'!D:Q,14,FALSE)</f>
        <v>22085.49</v>
      </c>
      <c r="K541" s="59">
        <f>VLOOKUP(A541,'611'!D:Q,14,FALSE)</f>
        <v>22085.49</v>
      </c>
      <c r="O541" t="s">
        <v>531</v>
      </c>
      <c r="P541">
        <f>_xlfn.IFNA(VLOOKUP(A541,IndirectCost!B:L,11,FALSE),"")</f>
        <v>8</v>
      </c>
      <c r="Q541">
        <f t="shared" si="8"/>
        <v>0.08</v>
      </c>
    </row>
    <row r="542" spans="1:17">
      <c r="A542" t="s">
        <v>1195</v>
      </c>
      <c r="B542" t="s">
        <v>1196</v>
      </c>
      <c r="C542" t="str">
        <f>VLOOKUP(A542,Districts!A:I,9,FALSE)</f>
        <v>Scottsdale Preparatory Academy</v>
      </c>
      <c r="D542" t="str">
        <f>VLOOKUP(A542,Districts!A:P,16,FALSE)</f>
        <v>JQ9DBRJUQNN5</v>
      </c>
      <c r="E542" t="s">
        <v>528</v>
      </c>
      <c r="F542" s="1">
        <v>45200</v>
      </c>
      <c r="G542" t="s">
        <v>529</v>
      </c>
      <c r="H542" t="s">
        <v>530</v>
      </c>
      <c r="I542" s="59">
        <f>VLOOKUP(A542,'611'!D:F,3,FALSE)</f>
        <v>114445.08</v>
      </c>
      <c r="J542" s="59">
        <f>VLOOKUP(A542,'611'!D:Q,14,FALSE)</f>
        <v>114688.22</v>
      </c>
      <c r="K542" s="59">
        <f>VLOOKUP(A542,'611'!D:Q,14,FALSE)</f>
        <v>114688.22</v>
      </c>
      <c r="O542" t="s">
        <v>531</v>
      </c>
      <c r="P542">
        <f>_xlfn.IFNA(VLOOKUP(A542,IndirectCost!B:L,11,FALSE),"")</f>
        <v>8</v>
      </c>
      <c r="Q542">
        <f t="shared" si="8"/>
        <v>0.08</v>
      </c>
    </row>
    <row r="543" spans="1:17">
      <c r="A543" t="s">
        <v>422</v>
      </c>
      <c r="B543" t="s">
        <v>1197</v>
      </c>
      <c r="C543" t="str">
        <f>VLOOKUP(A543,Districts!A:I,9,FALSE)</f>
        <v>Scottsdale Unified School District 48</v>
      </c>
      <c r="D543" t="str">
        <f>VLOOKUP(A543,Districts!A:P,16,FALSE)</f>
        <v>XNKPKH4MYH54</v>
      </c>
      <c r="E543" t="s">
        <v>528</v>
      </c>
      <c r="F543" s="1">
        <v>45200</v>
      </c>
      <c r="G543" t="s">
        <v>529</v>
      </c>
      <c r="H543" t="s">
        <v>530</v>
      </c>
      <c r="I543" s="59">
        <f>VLOOKUP(A543,'611'!D:F,3,FALSE)</f>
        <v>4292313.82</v>
      </c>
      <c r="J543" s="59">
        <f>VLOOKUP(A543,'611'!D:Q,14,FALSE)</f>
        <v>5230922.47</v>
      </c>
      <c r="K543" s="59">
        <f>VLOOKUP(A543,'611'!D:Q,14,FALSE)</f>
        <v>5230922.47</v>
      </c>
      <c r="O543" t="s">
        <v>531</v>
      </c>
      <c r="P543">
        <f>_xlfn.IFNA(VLOOKUP(A543,IndirectCost!B:L,11,FALSE),"")</f>
        <v>5.41</v>
      </c>
      <c r="Q543">
        <f t="shared" si="8"/>
        <v>5.4100000000000002E-2</v>
      </c>
    </row>
    <row r="544" spans="1:17">
      <c r="A544" t="s">
        <v>423</v>
      </c>
      <c r="B544" t="s">
        <v>1198</v>
      </c>
      <c r="C544" t="str">
        <f>VLOOKUP(A544,Districts!A:I,9,FALSE)</f>
        <v>Sedona Charter School</v>
      </c>
      <c r="D544" t="str">
        <f>VLOOKUP(A544,Districts!A:P,16,FALSE)</f>
        <v>HA89C4D7BCG5</v>
      </c>
      <c r="E544" t="s">
        <v>528</v>
      </c>
      <c r="F544" s="1">
        <v>45200</v>
      </c>
      <c r="G544" t="s">
        <v>529</v>
      </c>
      <c r="H544" t="s">
        <v>530</v>
      </c>
      <c r="I544" s="59">
        <f>VLOOKUP(A544,'611'!D:F,3,FALSE)</f>
        <v>26752.35</v>
      </c>
      <c r="J544" s="59">
        <f>VLOOKUP(A544,'611'!D:Q,14,FALSE)</f>
        <v>26752.35</v>
      </c>
      <c r="K544" s="59">
        <f>VLOOKUP(A544,'611'!D:Q,14,FALSE)</f>
        <v>26752.35</v>
      </c>
      <c r="O544" t="s">
        <v>531</v>
      </c>
      <c r="P544" t="str">
        <f>_xlfn.IFNA(VLOOKUP(A544,IndirectCost!B:L,11,FALSE),"")</f>
        <v/>
      </c>
      <c r="Q544">
        <f t="shared" si="8"/>
        <v>0</v>
      </c>
    </row>
    <row r="545" spans="1:17">
      <c r="A545" t="s">
        <v>424</v>
      </c>
      <c r="B545" t="s">
        <v>1199</v>
      </c>
      <c r="C545" t="str">
        <f>VLOOKUP(A545,Districts!A:I,9,FALSE)</f>
        <v>Sedona-Oak Creek Joint USD 9</v>
      </c>
      <c r="D545" t="str">
        <f>VLOOKUP(A545,Districts!A:P,16,FALSE)</f>
        <v>LWLMD76S8KK8</v>
      </c>
      <c r="E545" t="s">
        <v>528</v>
      </c>
      <c r="F545" s="1">
        <v>45200</v>
      </c>
      <c r="G545" t="s">
        <v>529</v>
      </c>
      <c r="H545" t="s">
        <v>530</v>
      </c>
      <c r="I545" s="59">
        <f>VLOOKUP(A545,'611'!D:F,3,FALSE)</f>
        <v>209104.55</v>
      </c>
      <c r="J545" s="59">
        <f>VLOOKUP(A545,'611'!D:Q,14,FALSE)</f>
        <v>217683.6</v>
      </c>
      <c r="K545" s="59">
        <f>VLOOKUP(A545,'611'!D:Q,14,FALSE)</f>
        <v>217683.6</v>
      </c>
      <c r="O545" t="s">
        <v>531</v>
      </c>
      <c r="P545">
        <f>_xlfn.IFNA(VLOOKUP(A545,IndirectCost!B:L,11,FALSE),"")</f>
        <v>3.37</v>
      </c>
      <c r="Q545">
        <f t="shared" si="8"/>
        <v>3.3700000000000001E-2</v>
      </c>
    </row>
    <row r="546" spans="1:17">
      <c r="A546" t="s">
        <v>425</v>
      </c>
      <c r="B546" t="s">
        <v>1200</v>
      </c>
      <c r="C546" t="str">
        <f>VLOOKUP(A546,Districts!A:I,9,FALSE)</f>
        <v>Self Development Academy-Phoenix</v>
      </c>
      <c r="D546" t="str">
        <f>VLOOKUP(A546,Districts!A:P,16,FALSE)</f>
        <v>LCAHHLJQQSG5</v>
      </c>
      <c r="E546" t="s">
        <v>528</v>
      </c>
      <c r="F546" s="1">
        <v>45200</v>
      </c>
      <c r="G546" t="s">
        <v>529</v>
      </c>
      <c r="H546" t="s">
        <v>530</v>
      </c>
      <c r="I546" s="59">
        <f>VLOOKUP(A546,'611'!D:F,3,FALSE)</f>
        <v>58119.67</v>
      </c>
      <c r="J546" s="59">
        <f>VLOOKUP(A546,'611'!D:Q,14,FALSE)</f>
        <v>58119.67</v>
      </c>
      <c r="K546" s="59">
        <f>VLOOKUP(A546,'611'!D:Q,14,FALSE)</f>
        <v>58119.67</v>
      </c>
      <c r="O546" t="s">
        <v>531</v>
      </c>
      <c r="P546" t="str">
        <f>_xlfn.IFNA(VLOOKUP(A546,IndirectCost!B:L,11,FALSE),"")</f>
        <v/>
      </c>
      <c r="Q546">
        <f t="shared" si="8"/>
        <v>0</v>
      </c>
    </row>
    <row r="547" spans="1:17">
      <c r="A547" t="s">
        <v>426</v>
      </c>
      <c r="B547" t="s">
        <v>1201</v>
      </c>
      <c r="C547" t="str">
        <f>VLOOKUP(A547,Districts!A:I,9,FALSE)</f>
        <v>SELIGMAN UNIFIED SCHOOL DISTRICT</v>
      </c>
      <c r="D547" t="str">
        <f>VLOOKUP(A547,Districts!A:P,16,FALSE)</f>
        <v>UU83ZALLS8K3</v>
      </c>
      <c r="E547" t="s">
        <v>528</v>
      </c>
      <c r="F547" s="1">
        <v>45200</v>
      </c>
      <c r="G547" t="s">
        <v>529</v>
      </c>
      <c r="H547" t="s">
        <v>530</v>
      </c>
      <c r="I547" s="59">
        <f>VLOOKUP(A547,'611'!D:F,3,FALSE)</f>
        <v>43357.01</v>
      </c>
      <c r="J547" s="59">
        <f>VLOOKUP(A547,'611'!D:Q,14,FALSE)</f>
        <v>57173.33</v>
      </c>
      <c r="K547" s="59">
        <f>VLOOKUP(A547,'611'!D:Q,14,FALSE)</f>
        <v>57173.33</v>
      </c>
      <c r="O547" t="s">
        <v>531</v>
      </c>
      <c r="P547" t="str">
        <f>_xlfn.IFNA(VLOOKUP(A547,IndirectCost!B:L,11,FALSE),"")</f>
        <v/>
      </c>
      <c r="Q547">
        <f t="shared" si="8"/>
        <v>0</v>
      </c>
    </row>
    <row r="548" spans="1:17">
      <c r="A548" t="s">
        <v>427</v>
      </c>
      <c r="B548" t="s">
        <v>1202</v>
      </c>
      <c r="C548" t="str">
        <f>VLOOKUP(A548,Districts!A:I,9,FALSE)</f>
        <v>Sentinel Elementary Dist 71</v>
      </c>
      <c r="D548" t="str">
        <f>VLOOKUP(A548,Districts!A:P,16,FALSE)</f>
        <v>DTSZCFLXDG56</v>
      </c>
      <c r="E548" t="s">
        <v>528</v>
      </c>
      <c r="F548" s="1">
        <v>45200</v>
      </c>
      <c r="G548" t="s">
        <v>529</v>
      </c>
      <c r="H548" t="s">
        <v>530</v>
      </c>
      <c r="I548" s="59">
        <f>VLOOKUP(A548,'611'!D:F,3,FALSE)</f>
        <v>10917</v>
      </c>
      <c r="J548" s="59">
        <f>VLOOKUP(A548,'611'!D:Q,14,FALSE)</f>
        <v>10917</v>
      </c>
      <c r="K548" s="59">
        <f>VLOOKUP(A548,'611'!D:Q,14,FALSE)</f>
        <v>10917</v>
      </c>
      <c r="O548" t="s">
        <v>531</v>
      </c>
      <c r="P548" t="str">
        <f>_xlfn.IFNA(VLOOKUP(A548,IndirectCost!B:L,11,FALSE),"")</f>
        <v/>
      </c>
      <c r="Q548">
        <f t="shared" si="8"/>
        <v>0</v>
      </c>
    </row>
    <row r="549" spans="1:17">
      <c r="A549" t="s">
        <v>1203</v>
      </c>
      <c r="B549" t="s">
        <v>1204</v>
      </c>
      <c r="C549" t="str">
        <f>VLOOKUP(A549,Districts!A:I,9,FALSE)</f>
        <v>Shonto Preparatory School District</v>
      </c>
      <c r="D549" t="str">
        <f>VLOOKUP(A549,Districts!A:P,16,FALSE)</f>
        <v>Q7ZLPTLML1L6</v>
      </c>
      <c r="E549" t="s">
        <v>528</v>
      </c>
      <c r="F549" s="1">
        <v>45200</v>
      </c>
      <c r="G549" t="s">
        <v>529</v>
      </c>
      <c r="H549" t="s">
        <v>530</v>
      </c>
      <c r="I549" s="59">
        <f>VLOOKUP(A549,'611'!D:F,3,FALSE)</f>
        <v>15942.72</v>
      </c>
      <c r="J549" s="59">
        <f>VLOOKUP(A549,'611'!D:Q,14,FALSE)</f>
        <v>16036.89</v>
      </c>
      <c r="K549" s="59">
        <f>VLOOKUP(A549,'611'!D:Q,14,FALSE)</f>
        <v>16036.89</v>
      </c>
      <c r="O549" t="s">
        <v>531</v>
      </c>
      <c r="P549" t="str">
        <f>_xlfn.IFNA(VLOOKUP(A549,IndirectCost!B:L,11,FALSE),"")</f>
        <v/>
      </c>
      <c r="Q549">
        <f t="shared" si="8"/>
        <v>0</v>
      </c>
    </row>
    <row r="550" spans="1:17">
      <c r="A550" t="s">
        <v>428</v>
      </c>
      <c r="B550" t="s">
        <v>1205</v>
      </c>
      <c r="C550" t="str">
        <f>VLOOKUP(A550,Districts!A:I,9,FALSE)</f>
        <v>ShowLow Unified School Dist10</v>
      </c>
      <c r="D550" t="str">
        <f>VLOOKUP(A550,Districts!A:P,16,FALSE)</f>
        <v>L9JFKZSDG1G7</v>
      </c>
      <c r="E550" t="s">
        <v>528</v>
      </c>
      <c r="F550" s="1">
        <v>45200</v>
      </c>
      <c r="G550" t="s">
        <v>529</v>
      </c>
      <c r="H550" t="s">
        <v>530</v>
      </c>
      <c r="I550" s="59">
        <f>VLOOKUP(A550,'611'!D:F,3,FALSE)</f>
        <v>531439.39</v>
      </c>
      <c r="J550" s="59">
        <f>VLOOKUP(A550,'611'!D:Q,14,FALSE)</f>
        <v>812121.53</v>
      </c>
      <c r="K550" s="59">
        <f>VLOOKUP(A550,'611'!D:Q,14,FALSE)</f>
        <v>812121.53</v>
      </c>
      <c r="O550" t="s">
        <v>531</v>
      </c>
      <c r="P550">
        <f>_xlfn.IFNA(VLOOKUP(A550,IndirectCost!B:L,11,FALSE),"")</f>
        <v>0</v>
      </c>
      <c r="Q550">
        <f t="shared" si="8"/>
        <v>0</v>
      </c>
    </row>
    <row r="551" spans="1:17">
      <c r="A551" t="s">
        <v>429</v>
      </c>
      <c r="B551" t="s">
        <v>1206</v>
      </c>
      <c r="C551" t="str">
        <f>VLOOKUP(A551,Districts!A:I,9,FALSE)</f>
        <v>Sierra Vista Public Schools Unified District #68</v>
      </c>
      <c r="D551" t="str">
        <f>VLOOKUP(A551,Districts!A:P,16,FALSE)</f>
        <v>NRMHNL3RLLU5</v>
      </c>
      <c r="E551" t="s">
        <v>528</v>
      </c>
      <c r="F551" s="1">
        <v>45200</v>
      </c>
      <c r="G551" t="s">
        <v>529</v>
      </c>
      <c r="H551" t="s">
        <v>530</v>
      </c>
      <c r="I551" s="59">
        <f>VLOOKUP(A551,'611'!D:F,3,FALSE)</f>
        <v>1123046.9099999999</v>
      </c>
      <c r="J551" s="59">
        <f>VLOOKUP(A551,'611'!D:Q,14,FALSE)</f>
        <v>1459384</v>
      </c>
      <c r="K551" s="59">
        <f>VLOOKUP(A551,'611'!D:Q,14,FALSE)</f>
        <v>1459384</v>
      </c>
      <c r="O551" t="s">
        <v>531</v>
      </c>
      <c r="P551">
        <f>_xlfn.IFNA(VLOOKUP(A551,IndirectCost!B:L,11,FALSE),"")</f>
        <v>4.83</v>
      </c>
      <c r="Q551">
        <f t="shared" si="8"/>
        <v>4.8300000000000003E-2</v>
      </c>
    </row>
    <row r="552" spans="1:17">
      <c r="A552" t="s">
        <v>430</v>
      </c>
      <c r="B552" t="s">
        <v>1207</v>
      </c>
      <c r="C552" t="str">
        <f>VLOOKUP(A552,Districts!A:I,9,FALSE)</f>
        <v>Skull Valley School District 15</v>
      </c>
      <c r="D552" t="str">
        <f>VLOOKUP(A552,Districts!A:P,16,FALSE)</f>
        <v>LE26SBE9PPG6</v>
      </c>
      <c r="E552" t="s">
        <v>528</v>
      </c>
      <c r="F552" s="1">
        <v>45200</v>
      </c>
      <c r="G552" t="s">
        <v>529</v>
      </c>
      <c r="H552" t="s">
        <v>530</v>
      </c>
      <c r="I552" s="59">
        <f>VLOOKUP(A552,'611'!D:F,3,FALSE)</f>
        <v>9311.49</v>
      </c>
      <c r="J552" s="59">
        <f>VLOOKUP(A552,'611'!D:Q,14,FALSE)</f>
        <v>10118.040000000001</v>
      </c>
      <c r="K552" s="59">
        <f>VLOOKUP(A552,'611'!D:Q,14,FALSE)</f>
        <v>10118.040000000001</v>
      </c>
      <c r="O552" t="s">
        <v>531</v>
      </c>
      <c r="P552" t="str">
        <f>_xlfn.IFNA(VLOOKUP(A552,IndirectCost!B:L,11,FALSE),"")</f>
        <v/>
      </c>
      <c r="Q552">
        <f t="shared" si="8"/>
        <v>0</v>
      </c>
    </row>
    <row r="553" spans="1:17">
      <c r="A553" t="s">
        <v>1208</v>
      </c>
      <c r="B553" t="s">
        <v>1209</v>
      </c>
      <c r="C553" t="str">
        <f>VLOOKUP(A553,Districts!A:I,9,FALSE)</f>
        <v>Skyline Gila River Schools, LLC</v>
      </c>
      <c r="D553" t="str">
        <f>VLOOKUP(A553,Districts!A:P,16,FALSE)</f>
        <v>FQK1L8B8PJG3</v>
      </c>
      <c r="E553" t="s">
        <v>528</v>
      </c>
      <c r="F553" s="1">
        <v>45200</v>
      </c>
      <c r="G553" t="s">
        <v>529</v>
      </c>
      <c r="H553" t="s">
        <v>530</v>
      </c>
      <c r="I553" s="59">
        <f>VLOOKUP(A553,'611'!D:F,3,FALSE)</f>
        <v>43954.03</v>
      </c>
      <c r="J553" s="59">
        <f>VLOOKUP(A553,'611'!D:Q,14,FALSE)</f>
        <v>43954.03</v>
      </c>
      <c r="K553" s="59">
        <f>VLOOKUP(A553,'611'!D:Q,14,FALSE)</f>
        <v>43954.03</v>
      </c>
      <c r="O553" t="s">
        <v>531</v>
      </c>
      <c r="P553" t="str">
        <f>_xlfn.IFNA(VLOOKUP(A553,IndirectCost!B:L,11,FALSE),"")</f>
        <v/>
      </c>
      <c r="Q553">
        <f t="shared" si="8"/>
        <v>0</v>
      </c>
    </row>
    <row r="554" spans="1:17">
      <c r="A554" t="s">
        <v>1210</v>
      </c>
      <c r="B554" t="s">
        <v>1211</v>
      </c>
      <c r="C554" t="str">
        <f>VLOOKUP(A554,Districts!A:I,9,FALSE)</f>
        <v>Skyline Technical High School Inc</v>
      </c>
      <c r="D554" t="str">
        <f>VLOOKUP(A554,Districts!A:P,16,FALSE)</f>
        <v>GX9DFLJNNPJ3</v>
      </c>
      <c r="E554" t="s">
        <v>528</v>
      </c>
      <c r="F554" s="1">
        <v>45200</v>
      </c>
      <c r="G554" t="s">
        <v>529</v>
      </c>
      <c r="H554" t="s">
        <v>530</v>
      </c>
      <c r="I554" s="59">
        <f>VLOOKUP(A554,'611'!D:F,3,FALSE)</f>
        <v>32955.67</v>
      </c>
      <c r="J554" s="59">
        <f>VLOOKUP(A554,'611'!D:Q,14,FALSE)</f>
        <v>32955.67</v>
      </c>
      <c r="K554" s="59">
        <f>VLOOKUP(A554,'611'!D:Q,14,FALSE)</f>
        <v>32955.67</v>
      </c>
      <c r="O554" t="s">
        <v>531</v>
      </c>
      <c r="P554" t="str">
        <f>_xlfn.IFNA(VLOOKUP(A554,IndirectCost!B:L,11,FALSE),"")</f>
        <v/>
      </c>
      <c r="Q554">
        <f t="shared" si="8"/>
        <v>0</v>
      </c>
    </row>
    <row r="555" spans="1:17">
      <c r="A555" t="s">
        <v>431</v>
      </c>
      <c r="B555" t="s">
        <v>1212</v>
      </c>
      <c r="C555" t="str">
        <f>VLOOKUP(A555,Districts!A:I,9,FALSE)</f>
        <v>Skyview School Inc.</v>
      </c>
      <c r="D555" t="str">
        <f>VLOOKUP(A555,Districts!A:P,16,FALSE)</f>
        <v>UXALMD7LBFV7</v>
      </c>
      <c r="E555" t="s">
        <v>528</v>
      </c>
      <c r="F555" s="1">
        <v>45200</v>
      </c>
      <c r="G555" t="s">
        <v>529</v>
      </c>
      <c r="H555" t="s">
        <v>530</v>
      </c>
      <c r="I555" s="59">
        <f>VLOOKUP(A555,'611'!D:F,3,FALSE)</f>
        <v>34496.35</v>
      </c>
      <c r="J555" s="59">
        <f>VLOOKUP(A555,'611'!D:Q,14,FALSE)</f>
        <v>39001.360000000001</v>
      </c>
      <c r="K555" s="59">
        <f>VLOOKUP(A555,'611'!D:Q,14,FALSE)</f>
        <v>39001.360000000001</v>
      </c>
      <c r="O555" t="s">
        <v>531</v>
      </c>
      <c r="P555" t="str">
        <f>_xlfn.IFNA(VLOOKUP(A555,IndirectCost!B:L,11,FALSE),"")</f>
        <v/>
      </c>
      <c r="Q555">
        <f t="shared" si="8"/>
        <v>0</v>
      </c>
    </row>
    <row r="556" spans="1:17">
      <c r="A556" t="s">
        <v>432</v>
      </c>
      <c r="B556" t="s">
        <v>1213</v>
      </c>
      <c r="C556" t="str">
        <f>VLOOKUP(A556,Districts!A:I,9,FALSE)</f>
        <v>SLAM ARIZONA INC</v>
      </c>
      <c r="D556">
        <f>VLOOKUP(A556,Districts!A:P,16,FALSE)</f>
        <v>0</v>
      </c>
      <c r="E556" t="s">
        <v>528</v>
      </c>
      <c r="F556" s="1">
        <v>45200</v>
      </c>
      <c r="G556" t="s">
        <v>529</v>
      </c>
      <c r="H556" t="s">
        <v>530</v>
      </c>
      <c r="I556" s="59">
        <f>VLOOKUP(A556,'611'!D:F,3,FALSE)</f>
        <v>9827.9500000000007</v>
      </c>
      <c r="J556" s="59">
        <f>VLOOKUP(A556,'611'!D:Q,14,FALSE)</f>
        <v>9827.9500000000007</v>
      </c>
      <c r="K556" s="59">
        <f>VLOOKUP(A556,'611'!D:Q,14,FALSE)</f>
        <v>9827.9500000000007</v>
      </c>
      <c r="O556" t="s">
        <v>531</v>
      </c>
      <c r="P556" t="str">
        <f>_xlfn.IFNA(VLOOKUP(A556,IndirectCost!B:L,11,FALSE),"")</f>
        <v/>
      </c>
      <c r="Q556">
        <f t="shared" si="8"/>
        <v>0</v>
      </c>
    </row>
    <row r="557" spans="1:17">
      <c r="A557" t="s">
        <v>433</v>
      </c>
      <c r="B557" t="s">
        <v>1214</v>
      </c>
      <c r="C557" t="str">
        <f>VLOOKUP(A557,Districts!A:I,9,FALSE)</f>
        <v>Snowflake Unified School District #5</v>
      </c>
      <c r="D557" t="str">
        <f>VLOOKUP(A557,Districts!A:P,16,FALSE)</f>
        <v>V6QTJJR29XL4</v>
      </c>
      <c r="E557" t="s">
        <v>528</v>
      </c>
      <c r="F557" s="1">
        <v>45200</v>
      </c>
      <c r="G557" t="s">
        <v>529</v>
      </c>
      <c r="H557" t="s">
        <v>530</v>
      </c>
      <c r="I557" s="59">
        <f>VLOOKUP(A557,'611'!D:F,3,FALSE)</f>
        <v>597651.22</v>
      </c>
      <c r="J557" s="59">
        <f>VLOOKUP(A557,'611'!D:Q,14,FALSE)</f>
        <v>668836.44999999995</v>
      </c>
      <c r="K557" s="59">
        <f>VLOOKUP(A557,'611'!D:Q,14,FALSE)</f>
        <v>668836.44999999995</v>
      </c>
      <c r="O557" t="s">
        <v>531</v>
      </c>
      <c r="P557">
        <f>_xlfn.IFNA(VLOOKUP(A557,IndirectCost!B:L,11,FALSE),"")</f>
        <v>3.88</v>
      </c>
      <c r="Q557">
        <f t="shared" si="8"/>
        <v>3.8800000000000001E-2</v>
      </c>
    </row>
    <row r="558" spans="1:17">
      <c r="A558" t="s">
        <v>434</v>
      </c>
      <c r="B558" t="s">
        <v>1215</v>
      </c>
      <c r="C558" t="str">
        <f>VLOOKUP(A558,Districts!A:I,9,FALSE)</f>
        <v>Solomon Elementary School District 5</v>
      </c>
      <c r="D558" t="str">
        <f>VLOOKUP(A558,Districts!A:P,16,FALSE)</f>
        <v>CHEDLE2JG1C8</v>
      </c>
      <c r="E558" t="s">
        <v>528</v>
      </c>
      <c r="F558" s="1">
        <v>45200</v>
      </c>
      <c r="G558" t="s">
        <v>529</v>
      </c>
      <c r="H558" t="s">
        <v>530</v>
      </c>
      <c r="I558" s="59">
        <f>VLOOKUP(A558,'611'!D:F,3,FALSE)</f>
        <v>54439.66</v>
      </c>
      <c r="J558" s="59">
        <f>VLOOKUP(A558,'611'!D:Q,14,FALSE)</f>
        <v>87642.880000000005</v>
      </c>
      <c r="K558" s="59">
        <f>VLOOKUP(A558,'611'!D:Q,14,FALSE)</f>
        <v>87642.880000000005</v>
      </c>
      <c r="O558" t="s">
        <v>531</v>
      </c>
      <c r="P558">
        <f>_xlfn.IFNA(VLOOKUP(A558,IndirectCost!B:L,11,FALSE),"")</f>
        <v>8</v>
      </c>
      <c r="Q558">
        <f t="shared" si="8"/>
        <v>0.08</v>
      </c>
    </row>
    <row r="559" spans="1:17">
      <c r="A559" t="s">
        <v>435</v>
      </c>
      <c r="B559" t="s">
        <v>1216</v>
      </c>
      <c r="C559" t="str">
        <f>VLOOKUP(A559,Districts!A:I,9,FALSE)</f>
        <v>SOMERSET ACADEMY ARIZONA INC</v>
      </c>
      <c r="D559" t="str">
        <f>VLOOKUP(A559,Districts!A:P,16,FALSE)</f>
        <v>WYTSHJNAKVN8</v>
      </c>
      <c r="E559" t="s">
        <v>528</v>
      </c>
      <c r="F559" s="1">
        <v>45200</v>
      </c>
      <c r="G559" t="s">
        <v>529</v>
      </c>
      <c r="H559" t="s">
        <v>530</v>
      </c>
      <c r="I559" s="59">
        <f>VLOOKUP(A559,'611'!D:F,3,FALSE)</f>
        <v>26249.94</v>
      </c>
      <c r="J559" s="59">
        <f>VLOOKUP(A559,'611'!D:Q,14,FALSE)</f>
        <v>26249.95</v>
      </c>
      <c r="K559" s="59">
        <f>VLOOKUP(A559,'611'!D:Q,14,FALSE)</f>
        <v>26249.95</v>
      </c>
      <c r="O559" t="s">
        <v>531</v>
      </c>
      <c r="P559" t="str">
        <f>_xlfn.IFNA(VLOOKUP(A559,IndirectCost!B:L,11,FALSE),"")</f>
        <v/>
      </c>
      <c r="Q559">
        <f t="shared" si="8"/>
        <v>0</v>
      </c>
    </row>
    <row r="560" spans="1:17">
      <c r="A560" t="s">
        <v>436</v>
      </c>
      <c r="B560" t="s">
        <v>1217</v>
      </c>
      <c r="C560" t="str">
        <f>VLOOKUP(A560,Districts!A:I,9,FALSE)</f>
        <v>Somerton School District No 11</v>
      </c>
      <c r="D560" t="str">
        <f>VLOOKUP(A560,Districts!A:P,16,FALSE)</f>
        <v>P815WSPQ4CK4</v>
      </c>
      <c r="E560" t="s">
        <v>528</v>
      </c>
      <c r="F560" s="1">
        <v>45200</v>
      </c>
      <c r="G560" t="s">
        <v>529</v>
      </c>
      <c r="H560" t="s">
        <v>530</v>
      </c>
      <c r="I560" s="59">
        <f>VLOOKUP(A560,'611'!D:F,3,FALSE)</f>
        <v>635335.19999999995</v>
      </c>
      <c r="J560" s="59">
        <f>VLOOKUP(A560,'611'!D:Q,14,FALSE)</f>
        <v>663790.09</v>
      </c>
      <c r="K560" s="59">
        <f>VLOOKUP(A560,'611'!D:Q,14,FALSE)</f>
        <v>663790.09</v>
      </c>
      <c r="O560" t="s">
        <v>531</v>
      </c>
      <c r="P560">
        <f>_xlfn.IFNA(VLOOKUP(A560,IndirectCost!B:L,11,FALSE),"")</f>
        <v>6.18</v>
      </c>
      <c r="Q560">
        <f t="shared" si="8"/>
        <v>6.1799999999999994E-2</v>
      </c>
    </row>
    <row r="561" spans="1:17">
      <c r="A561" t="s">
        <v>437</v>
      </c>
      <c r="B561" t="s">
        <v>1218</v>
      </c>
      <c r="C561" t="str">
        <f>VLOOKUP(A561,Districts!A:I,9,FALSE)</f>
        <v>Sonoita Elementary School District #25</v>
      </c>
      <c r="D561" t="str">
        <f>VLOOKUP(A561,Districts!A:P,16,FALSE)</f>
        <v>QKTJTR7SR617</v>
      </c>
      <c r="E561" t="s">
        <v>528</v>
      </c>
      <c r="F561" s="1">
        <v>45200</v>
      </c>
      <c r="G561" t="s">
        <v>529</v>
      </c>
      <c r="H561" t="s">
        <v>530</v>
      </c>
      <c r="I561" s="59">
        <f>VLOOKUP(A561,'611'!D:F,3,FALSE)</f>
        <v>31128.799999999999</v>
      </c>
      <c r="J561" s="59">
        <f>VLOOKUP(A561,'611'!D:Q,14,FALSE)</f>
        <v>51983.21</v>
      </c>
      <c r="K561" s="59">
        <f>VLOOKUP(A561,'611'!D:Q,14,FALSE)</f>
        <v>51983.21</v>
      </c>
      <c r="O561" t="s">
        <v>531</v>
      </c>
      <c r="P561">
        <f>_xlfn.IFNA(VLOOKUP(A561,IndirectCost!B:L,11,FALSE),"")</f>
        <v>8</v>
      </c>
      <c r="Q561">
        <f t="shared" si="8"/>
        <v>0.08</v>
      </c>
    </row>
    <row r="562" spans="1:17">
      <c r="A562" t="s">
        <v>438</v>
      </c>
      <c r="B562" t="s">
        <v>1219</v>
      </c>
      <c r="C562" t="str">
        <f>VLOOKUP(A562,Districts!A:I,9,FALSE)</f>
        <v>South Phoenix Academy, Inc.</v>
      </c>
      <c r="D562" t="str">
        <f>VLOOKUP(A562,Districts!A:P,16,FALSE)</f>
        <v>FQX1SG8CDQ33</v>
      </c>
      <c r="E562" t="s">
        <v>528</v>
      </c>
      <c r="F562" s="1">
        <v>45200</v>
      </c>
      <c r="G562" t="s">
        <v>529</v>
      </c>
      <c r="H562" t="s">
        <v>530</v>
      </c>
      <c r="I562" s="59">
        <f>VLOOKUP(A562,'611'!D:F,3,FALSE)</f>
        <v>55049.96</v>
      </c>
      <c r="J562" s="59">
        <f>VLOOKUP(A562,'611'!D:Q,14,FALSE)</f>
        <v>55049.96</v>
      </c>
      <c r="K562" s="59">
        <f>VLOOKUP(A562,'611'!D:Q,14,FALSE)</f>
        <v>55049.96</v>
      </c>
      <c r="O562" t="s">
        <v>531</v>
      </c>
      <c r="P562" t="str">
        <f>_xlfn.IFNA(VLOOKUP(A562,IndirectCost!B:L,11,FALSE),"")</f>
        <v/>
      </c>
      <c r="Q562">
        <f t="shared" si="8"/>
        <v>0</v>
      </c>
    </row>
    <row r="563" spans="1:17">
      <c r="A563" t="s">
        <v>1220</v>
      </c>
      <c r="B563" t="s">
        <v>1221</v>
      </c>
      <c r="C563" t="str">
        <f>VLOOKUP(A563,Districts!A:I,9,FALSE)</f>
        <v>South Valley Academy, Inc.</v>
      </c>
      <c r="D563" t="str">
        <f>VLOOKUP(A563,Districts!A:P,16,FALSE)</f>
        <v>DM3MXKYW6CH4</v>
      </c>
      <c r="E563" t="s">
        <v>528</v>
      </c>
      <c r="F563" s="1">
        <v>45200</v>
      </c>
      <c r="G563" t="s">
        <v>529</v>
      </c>
      <c r="H563" t="s">
        <v>530</v>
      </c>
      <c r="I563" s="59">
        <f>VLOOKUP(A563,'611'!D:F,3,FALSE)</f>
        <v>35589.360000000001</v>
      </c>
      <c r="J563" s="59">
        <f>VLOOKUP(A563,'611'!D:Q,14,FALSE)</f>
        <v>35589.360000000001</v>
      </c>
      <c r="K563" s="59">
        <f>VLOOKUP(A563,'611'!D:Q,14,FALSE)</f>
        <v>35589.360000000001</v>
      </c>
      <c r="O563" t="s">
        <v>531</v>
      </c>
      <c r="P563" t="str">
        <f>_xlfn.IFNA(VLOOKUP(A563,IndirectCost!B:L,11,FALSE),"")</f>
        <v/>
      </c>
      <c r="Q563">
        <f t="shared" si="8"/>
        <v>0</v>
      </c>
    </row>
    <row r="564" spans="1:17">
      <c r="A564" t="s">
        <v>439</v>
      </c>
      <c r="B564" t="s">
        <v>1222</v>
      </c>
      <c r="C564" t="str">
        <f>VLOOKUP(A564,Districts!A:I,9,FALSE)</f>
        <v>SOUTHGATE ACADEMY, INC.</v>
      </c>
      <c r="D564" t="str">
        <f>VLOOKUP(A564,Districts!A:P,16,FALSE)</f>
        <v>HQXMQH29EDG5</v>
      </c>
      <c r="E564" t="s">
        <v>528</v>
      </c>
      <c r="F564" s="1">
        <v>45200</v>
      </c>
      <c r="G564" t="s">
        <v>529</v>
      </c>
      <c r="H564" t="s">
        <v>530</v>
      </c>
      <c r="I564" s="59">
        <f>VLOOKUP(A564,'611'!D:F,3,FALSE)</f>
        <v>93031.84</v>
      </c>
      <c r="J564" s="59">
        <f>VLOOKUP(A564,'611'!D:Q,14,FALSE)</f>
        <v>93031.84</v>
      </c>
      <c r="K564" s="59">
        <f>VLOOKUP(A564,'611'!D:Q,14,FALSE)</f>
        <v>93031.84</v>
      </c>
      <c r="O564" t="s">
        <v>531</v>
      </c>
      <c r="P564" t="str">
        <f>_xlfn.IFNA(VLOOKUP(A564,IndirectCost!B:L,11,FALSE),"")</f>
        <v/>
      </c>
      <c r="Q564">
        <f t="shared" si="8"/>
        <v>0</v>
      </c>
    </row>
    <row r="565" spans="1:17">
      <c r="A565" t="s">
        <v>1223</v>
      </c>
      <c r="B565" t="s">
        <v>1224</v>
      </c>
      <c r="C565" t="str">
        <f>VLOOKUP(A565,Districts!A:I,9,FALSE)</f>
        <v>Southwest Leadership Academy</v>
      </c>
      <c r="D565" t="str">
        <f>VLOOKUP(A565,Districts!A:P,16,FALSE)</f>
        <v>KNF5JX5KBJC9</v>
      </c>
      <c r="E565" t="s">
        <v>528</v>
      </c>
      <c r="F565" s="1">
        <v>45200</v>
      </c>
      <c r="G565" t="s">
        <v>529</v>
      </c>
      <c r="H565" t="s">
        <v>530</v>
      </c>
      <c r="I565" s="59">
        <f>VLOOKUP(A565,'611'!D:F,3,FALSE)</f>
        <v>40285.51</v>
      </c>
      <c r="J565" s="59">
        <f>VLOOKUP(A565,'611'!D:Q,14,FALSE)</f>
        <v>40285.51</v>
      </c>
      <c r="K565" s="59">
        <f>VLOOKUP(A565,'611'!D:Q,14,FALSE)</f>
        <v>40285.51</v>
      </c>
      <c r="O565" t="s">
        <v>531</v>
      </c>
      <c r="P565" t="str">
        <f>_xlfn.IFNA(VLOOKUP(A565,IndirectCost!B:L,11,FALSE),"")</f>
        <v/>
      </c>
      <c r="Q565">
        <f t="shared" si="8"/>
        <v>0</v>
      </c>
    </row>
    <row r="566" spans="1:17">
      <c r="A566" t="s">
        <v>440</v>
      </c>
      <c r="B566" t="s">
        <v>1225</v>
      </c>
      <c r="C566" t="str">
        <f>VLOOKUP(A566,Districts!A:I,9,FALSE)</f>
        <v>ST DAVID UNIFIED SCHOOL</v>
      </c>
      <c r="D566" t="str">
        <f>VLOOKUP(A566,Districts!A:P,16,FALSE)</f>
        <v>GK87S3H35HJ1</v>
      </c>
      <c r="E566" t="s">
        <v>528</v>
      </c>
      <c r="F566" s="1">
        <v>45200</v>
      </c>
      <c r="G566" t="s">
        <v>529</v>
      </c>
      <c r="H566" t="s">
        <v>530</v>
      </c>
      <c r="I566" s="59">
        <f>VLOOKUP(A566,'611'!D:F,3,FALSE)</f>
        <v>110691.63</v>
      </c>
      <c r="J566" s="59">
        <f>VLOOKUP(A566,'611'!D:Q,14,FALSE)</f>
        <v>113803.84</v>
      </c>
      <c r="K566" s="59">
        <f>VLOOKUP(A566,'611'!D:Q,14,FALSE)</f>
        <v>113803.84</v>
      </c>
      <c r="O566" t="s">
        <v>531</v>
      </c>
      <c r="P566" t="str">
        <f>_xlfn.IFNA(VLOOKUP(A566,IndirectCost!B:L,11,FALSE),"")</f>
        <v/>
      </c>
      <c r="Q566">
        <f t="shared" si="8"/>
        <v>0</v>
      </c>
    </row>
    <row r="567" spans="1:17">
      <c r="A567" t="s">
        <v>441</v>
      </c>
      <c r="B567" t="s">
        <v>1226</v>
      </c>
      <c r="C567" t="str">
        <f>VLOOKUP(A567,Districts!A:I,9,FALSE)</f>
        <v>Saint Johns Unified School District #1</v>
      </c>
      <c r="D567" t="str">
        <f>VLOOKUP(A567,Districts!A:P,16,FALSE)</f>
        <v>EW1YMSQRXNM8</v>
      </c>
      <c r="E567" t="s">
        <v>528</v>
      </c>
      <c r="F567" s="1">
        <v>45200</v>
      </c>
      <c r="G567" t="s">
        <v>529</v>
      </c>
      <c r="H567" t="s">
        <v>530</v>
      </c>
      <c r="I567" s="59">
        <f>VLOOKUP(A567,'611'!D:F,3,FALSE)</f>
        <v>225397.33</v>
      </c>
      <c r="J567" s="59">
        <f>VLOOKUP(A567,'611'!D:Q,14,FALSE)</f>
        <v>307664.94</v>
      </c>
      <c r="K567" s="59">
        <f>VLOOKUP(A567,'611'!D:Q,14,FALSE)</f>
        <v>307664.94</v>
      </c>
      <c r="O567" t="s">
        <v>531</v>
      </c>
      <c r="P567">
        <f>_xlfn.IFNA(VLOOKUP(A567,IndirectCost!B:L,11,FALSE),"")</f>
        <v>2.7</v>
      </c>
      <c r="Q567">
        <f t="shared" si="8"/>
        <v>2.7000000000000003E-2</v>
      </c>
    </row>
    <row r="568" spans="1:17">
      <c r="A568" t="s">
        <v>442</v>
      </c>
      <c r="B568" t="s">
        <v>1227</v>
      </c>
      <c r="C568" t="str">
        <f>VLOOKUP(A568,Districts!A:I,9,FALSE)</f>
        <v>Stanfield Elementary School District 24</v>
      </c>
      <c r="D568" t="str">
        <f>VLOOKUP(A568,Districts!A:P,16,FALSE)</f>
        <v>G32SGFGVLRL3</v>
      </c>
      <c r="E568" t="s">
        <v>528</v>
      </c>
      <c r="F568" s="1">
        <v>45200</v>
      </c>
      <c r="G568" t="s">
        <v>529</v>
      </c>
      <c r="H568" t="s">
        <v>530</v>
      </c>
      <c r="I568" s="59">
        <f>VLOOKUP(A568,'611'!D:F,3,FALSE)</f>
        <v>125051.59</v>
      </c>
      <c r="J568" s="59">
        <f>VLOOKUP(A568,'611'!D:Q,14,FALSE)</f>
        <v>125051.59</v>
      </c>
      <c r="K568" s="59">
        <f>VLOOKUP(A568,'611'!D:Q,14,FALSE)</f>
        <v>125051.59</v>
      </c>
      <c r="O568" t="s">
        <v>531</v>
      </c>
      <c r="P568">
        <f>_xlfn.IFNA(VLOOKUP(A568,IndirectCost!B:L,11,FALSE),"")</f>
        <v>8</v>
      </c>
      <c r="Q568">
        <f t="shared" si="8"/>
        <v>0.08</v>
      </c>
    </row>
    <row r="569" spans="1:17">
      <c r="A569" t="s">
        <v>443</v>
      </c>
      <c r="B569" t="s">
        <v>1228</v>
      </c>
      <c r="C569" t="str">
        <f>VLOOKUP(A569,Districts!A:I,9,FALSE)</f>
        <v>Step Up Schools, Inc.</v>
      </c>
      <c r="D569" t="str">
        <f>VLOOKUP(A569,Districts!A:P,16,FALSE)</f>
        <v>YENJJFDH6UF4</v>
      </c>
      <c r="E569" t="s">
        <v>528</v>
      </c>
      <c r="F569" s="1">
        <v>45200</v>
      </c>
      <c r="G569" t="s">
        <v>529</v>
      </c>
      <c r="H569" t="s">
        <v>530</v>
      </c>
      <c r="I569" s="59">
        <f>VLOOKUP(A569,'611'!D:F,3,FALSE)</f>
        <v>40217.160000000003</v>
      </c>
      <c r="J569" s="59">
        <f>VLOOKUP(A569,'611'!D:Q,14,FALSE)</f>
        <v>42820.57</v>
      </c>
      <c r="K569" s="59">
        <f>VLOOKUP(A569,'611'!D:Q,14,FALSE)</f>
        <v>42820.57</v>
      </c>
      <c r="O569" t="s">
        <v>531</v>
      </c>
      <c r="P569" t="str">
        <f>_xlfn.IFNA(VLOOKUP(A569,IndirectCost!B:L,11,FALSE),"")</f>
        <v/>
      </c>
      <c r="Q569">
        <f t="shared" si="8"/>
        <v>0</v>
      </c>
    </row>
    <row r="570" spans="1:17">
      <c r="A570" t="s">
        <v>444</v>
      </c>
      <c r="B570" t="s">
        <v>1229</v>
      </c>
      <c r="C570" t="str">
        <f>VLOOKUP(A570,Districts!A:I,9,FALSE)</f>
        <v>Stepping Stones Academy, Inc.</v>
      </c>
      <c r="D570" t="str">
        <f>VLOOKUP(A570,Districts!A:P,16,FALSE)</f>
        <v>DC77AJCJMA65</v>
      </c>
      <c r="E570" t="s">
        <v>528</v>
      </c>
      <c r="F570" s="1">
        <v>45200</v>
      </c>
      <c r="G570" t="s">
        <v>529</v>
      </c>
      <c r="H570" t="s">
        <v>530</v>
      </c>
      <c r="I570" s="59">
        <f>VLOOKUP(A570,'611'!D:F,3,FALSE)</f>
        <v>38033.269999999997</v>
      </c>
      <c r="J570" s="59">
        <f>VLOOKUP(A570,'611'!D:Q,14,FALSE)</f>
        <v>38033.269999999997</v>
      </c>
      <c r="K570" s="59">
        <f>VLOOKUP(A570,'611'!D:Q,14,FALSE)</f>
        <v>38033.269999999997</v>
      </c>
      <c r="O570" t="s">
        <v>531</v>
      </c>
      <c r="P570" t="str">
        <f>_xlfn.IFNA(VLOOKUP(A570,IndirectCost!B:L,11,FALSE),"")</f>
        <v/>
      </c>
      <c r="Q570">
        <f t="shared" si="8"/>
        <v>0</v>
      </c>
    </row>
    <row r="571" spans="1:17">
      <c r="A571" t="s">
        <v>1230</v>
      </c>
      <c r="B571" t="s">
        <v>1231</v>
      </c>
      <c r="C571" t="str">
        <f>VLOOKUP(A571,Districts!A:I,9,FALSE)</f>
        <v>StrengthBuilding Partners dba Las Puertas</v>
      </c>
      <c r="D571" t="str">
        <f>VLOOKUP(A571,Districts!A:P,16,FALSE)</f>
        <v>KFLUU3KRPP59</v>
      </c>
      <c r="E571" t="s">
        <v>528</v>
      </c>
      <c r="F571" s="1">
        <v>45200</v>
      </c>
      <c r="G571" t="s">
        <v>529</v>
      </c>
      <c r="H571" t="s">
        <v>530</v>
      </c>
      <c r="I571" s="59">
        <f>VLOOKUP(A571,'611'!D:F,3,FALSE)</f>
        <v>10428.65</v>
      </c>
      <c r="J571" s="59">
        <f>VLOOKUP(A571,'611'!D:Q,14,FALSE)</f>
        <v>21622.28</v>
      </c>
      <c r="K571" s="59">
        <f>VLOOKUP(A571,'611'!D:Q,14,FALSE)</f>
        <v>21622.28</v>
      </c>
      <c r="O571" t="s">
        <v>531</v>
      </c>
      <c r="P571" t="str">
        <f>_xlfn.IFNA(VLOOKUP(A571,IndirectCost!B:L,11,FALSE),"")</f>
        <v/>
      </c>
      <c r="Q571">
        <f t="shared" si="8"/>
        <v>0</v>
      </c>
    </row>
    <row r="572" spans="1:17">
      <c r="A572" t="s">
        <v>445</v>
      </c>
      <c r="B572" t="s">
        <v>1232</v>
      </c>
      <c r="C572" t="str">
        <f>VLOOKUP(A572,Districts!A:I,9,FALSE)</f>
        <v>SUCCESS SCHOOL</v>
      </c>
      <c r="D572" t="str">
        <f>VLOOKUP(A572,Districts!A:P,16,FALSE)</f>
        <v>SM2BG7U9XLT9</v>
      </c>
      <c r="E572" t="s">
        <v>528</v>
      </c>
      <c r="F572" s="1">
        <v>45200</v>
      </c>
      <c r="G572" t="s">
        <v>529</v>
      </c>
      <c r="H572" t="s">
        <v>530</v>
      </c>
      <c r="I572" s="59">
        <f>VLOOKUP(A572,'611'!D:F,3,FALSE)</f>
        <v>181138.25</v>
      </c>
      <c r="J572" s="59">
        <f>VLOOKUP(A572,'611'!D:Q,14,FALSE)</f>
        <v>181138.25</v>
      </c>
      <c r="K572" s="59">
        <f>VLOOKUP(A572,'611'!D:Q,14,FALSE)</f>
        <v>181138.25</v>
      </c>
      <c r="O572" t="s">
        <v>531</v>
      </c>
      <c r="P572">
        <f>_xlfn.IFNA(VLOOKUP(A572,IndirectCost!B:L,11,FALSE),"")</f>
        <v>0</v>
      </c>
      <c r="Q572">
        <f t="shared" si="8"/>
        <v>0</v>
      </c>
    </row>
    <row r="573" spans="1:17">
      <c r="A573" t="s">
        <v>446</v>
      </c>
      <c r="B573" t="s">
        <v>1233</v>
      </c>
      <c r="C573" t="str">
        <f>VLOOKUP(A573,Districts!A:I,9,FALSE)</f>
        <v>Sunnyside Unified School District 12</v>
      </c>
      <c r="D573" t="str">
        <f>VLOOKUP(A573,Districts!A:P,16,FALSE)</f>
        <v>TKBSF37VK8J8</v>
      </c>
      <c r="E573" t="s">
        <v>528</v>
      </c>
      <c r="F573" s="1">
        <v>45200</v>
      </c>
      <c r="G573" t="s">
        <v>529</v>
      </c>
      <c r="H573" t="s">
        <v>530</v>
      </c>
      <c r="I573" s="59">
        <f>VLOOKUP(A573,'611'!D:F,3,FALSE)</f>
        <v>3403035.39</v>
      </c>
      <c r="J573" s="59">
        <f>VLOOKUP(A573,'611'!D:Q,14,FALSE)</f>
        <v>3760022.52</v>
      </c>
      <c r="K573" s="59">
        <f>VLOOKUP(A573,'611'!D:Q,14,FALSE)</f>
        <v>3760022.52</v>
      </c>
      <c r="O573" t="s">
        <v>531</v>
      </c>
      <c r="P573">
        <f>_xlfn.IFNA(VLOOKUP(A573,IndirectCost!B:L,11,FALSE),"")</f>
        <v>8</v>
      </c>
      <c r="Q573">
        <f t="shared" si="8"/>
        <v>0.08</v>
      </c>
    </row>
    <row r="574" spans="1:17">
      <c r="A574" t="s">
        <v>447</v>
      </c>
      <c r="B574" t="s">
        <v>1234</v>
      </c>
      <c r="C574" t="str">
        <f>VLOOKUP(A574,Districts!A:I,9,FALSE)</f>
        <v>Superior Unified School District #15</v>
      </c>
      <c r="D574" t="str">
        <f>VLOOKUP(A574,Districts!A:P,16,FALSE)</f>
        <v>CWCLQ9LAW4J7</v>
      </c>
      <c r="E574" t="s">
        <v>528</v>
      </c>
      <c r="F574" s="1">
        <v>45200</v>
      </c>
      <c r="G574" t="s">
        <v>529</v>
      </c>
      <c r="H574" t="s">
        <v>530</v>
      </c>
      <c r="I574" s="59">
        <f>VLOOKUP(A574,'611'!D:F,3,FALSE)</f>
        <v>76726.100000000006</v>
      </c>
      <c r="J574" s="59">
        <f>VLOOKUP(A574,'611'!D:Q,14,FALSE)</f>
        <v>80664.490000000005</v>
      </c>
      <c r="K574" s="59">
        <f>VLOOKUP(A574,'611'!D:Q,14,FALSE)</f>
        <v>80664.490000000005</v>
      </c>
      <c r="O574" t="s">
        <v>531</v>
      </c>
      <c r="P574">
        <f>_xlfn.IFNA(VLOOKUP(A574,IndirectCost!B:L,11,FALSE),"")</f>
        <v>8</v>
      </c>
      <c r="Q574">
        <f t="shared" si="8"/>
        <v>0.08</v>
      </c>
    </row>
    <row r="575" spans="1:17">
      <c r="A575" t="s">
        <v>448</v>
      </c>
      <c r="B575" t="s">
        <v>1235</v>
      </c>
      <c r="C575" t="str">
        <f>VLOOKUP(A575,Districts!A:I,9,FALSE)</f>
        <v>Synergy Public Schools</v>
      </c>
      <c r="D575" t="str">
        <f>VLOOKUP(A575,Districts!A:P,16,FALSE)</f>
        <v>U5VPWHUUHQ75</v>
      </c>
      <c r="E575" t="s">
        <v>528</v>
      </c>
      <c r="F575" s="1">
        <v>45200</v>
      </c>
      <c r="G575" t="s">
        <v>529</v>
      </c>
      <c r="H575" t="s">
        <v>530</v>
      </c>
      <c r="I575" s="59">
        <f>VLOOKUP(A575,'611'!D:F,3,FALSE)</f>
        <v>105899.26</v>
      </c>
      <c r="J575" s="59">
        <f>VLOOKUP(A575,'611'!D:Q,14,FALSE)</f>
        <v>105899.26</v>
      </c>
      <c r="K575" s="59">
        <f>VLOOKUP(A575,'611'!D:Q,14,FALSE)</f>
        <v>105899.26</v>
      </c>
      <c r="O575" t="s">
        <v>531</v>
      </c>
      <c r="P575">
        <f>_xlfn.IFNA(VLOOKUP(A575,IndirectCost!B:L,11,FALSE),"")</f>
        <v>8</v>
      </c>
      <c r="Q575">
        <f t="shared" si="8"/>
        <v>0.08</v>
      </c>
    </row>
    <row r="576" spans="1:17">
      <c r="A576" t="s">
        <v>449</v>
      </c>
      <c r="B576" t="s">
        <v>1236</v>
      </c>
      <c r="C576" t="str">
        <f>VLOOKUP(A576,Districts!A:I,9,FALSE)</f>
        <v>Tanque Verde Unified School District 13</v>
      </c>
      <c r="D576" t="str">
        <f>VLOOKUP(A576,Districts!A:P,16,FALSE)</f>
        <v>U3SYPKDBQTR8</v>
      </c>
      <c r="E576" t="s">
        <v>528</v>
      </c>
      <c r="F576" s="1">
        <v>45200</v>
      </c>
      <c r="G576" t="s">
        <v>529</v>
      </c>
      <c r="H576" t="s">
        <v>530</v>
      </c>
      <c r="I576" s="59">
        <f>VLOOKUP(A576,'611'!D:F,3,FALSE)</f>
        <v>400140.77</v>
      </c>
      <c r="J576" s="59">
        <f>VLOOKUP(A576,'611'!D:Q,14,FALSE)</f>
        <v>410882.95</v>
      </c>
      <c r="K576" s="59">
        <f>VLOOKUP(A576,'611'!D:Q,14,FALSE)</f>
        <v>410882.95</v>
      </c>
      <c r="O576" t="s">
        <v>531</v>
      </c>
      <c r="P576" t="str">
        <f>_xlfn.IFNA(VLOOKUP(A576,IndirectCost!B:L,11,FALSE),"")</f>
        <v/>
      </c>
      <c r="Q576">
        <f t="shared" si="8"/>
        <v>0</v>
      </c>
    </row>
    <row r="577" spans="1:17">
      <c r="A577" t="s">
        <v>450</v>
      </c>
      <c r="B577" t="s">
        <v>1237</v>
      </c>
      <c r="C577" t="str">
        <f>VLOOKUP(A577,Districts!A:I,9,FALSE)</f>
        <v>Telesis Center For Learning, Inc.</v>
      </c>
      <c r="D577" t="str">
        <f>VLOOKUP(A577,Districts!A:P,16,FALSE)</f>
        <v>SCANB836JPU4</v>
      </c>
      <c r="E577" t="s">
        <v>528</v>
      </c>
      <c r="F577" s="1">
        <v>45200</v>
      </c>
      <c r="G577" t="s">
        <v>529</v>
      </c>
      <c r="H577" t="s">
        <v>530</v>
      </c>
      <c r="I577" s="59">
        <f>VLOOKUP(A577,'611'!D:F,3,FALSE)</f>
        <v>58486.09</v>
      </c>
      <c r="J577" s="59">
        <f>VLOOKUP(A577,'611'!D:Q,14,FALSE)</f>
        <v>58486.09</v>
      </c>
      <c r="K577" s="59">
        <f>VLOOKUP(A577,'611'!D:Q,14,FALSE)</f>
        <v>58486.09</v>
      </c>
      <c r="O577" t="s">
        <v>531</v>
      </c>
      <c r="P577" t="str">
        <f>_xlfn.IFNA(VLOOKUP(A577,IndirectCost!B:L,11,FALSE),"")</f>
        <v/>
      </c>
      <c r="Q577">
        <f t="shared" si="8"/>
        <v>0</v>
      </c>
    </row>
    <row r="578" spans="1:17">
      <c r="A578" t="s">
        <v>1238</v>
      </c>
      <c r="B578" t="s">
        <v>1239</v>
      </c>
      <c r="C578" t="str">
        <f>VLOOKUP(A578,Districts!A:I,9,FALSE)</f>
        <v>Tempe Preparatory Academy</v>
      </c>
      <c r="D578" t="str">
        <f>VLOOKUP(A578,Districts!A:P,16,FALSE)</f>
        <v>QMKDBMBDM3G1</v>
      </c>
      <c r="E578" t="s">
        <v>528</v>
      </c>
      <c r="F578" s="1">
        <v>45200</v>
      </c>
      <c r="G578" t="s">
        <v>529</v>
      </c>
      <c r="H578" t="s">
        <v>530</v>
      </c>
      <c r="I578" s="59">
        <f>VLOOKUP(A578,'611'!D:F,3,FALSE)</f>
        <v>57796.95</v>
      </c>
      <c r="J578" s="59">
        <f>VLOOKUP(A578,'611'!D:Q,14,FALSE)</f>
        <v>57796.95</v>
      </c>
      <c r="K578" s="59">
        <f>VLOOKUP(A578,'611'!D:Q,14,FALSE)</f>
        <v>57796.95</v>
      </c>
      <c r="O578" t="s">
        <v>531</v>
      </c>
      <c r="P578" t="str">
        <f>_xlfn.IFNA(VLOOKUP(A578,IndirectCost!B:L,11,FALSE),"")</f>
        <v/>
      </c>
      <c r="Q578">
        <f t="shared" si="8"/>
        <v>0</v>
      </c>
    </row>
    <row r="579" spans="1:17">
      <c r="A579" t="s">
        <v>451</v>
      </c>
      <c r="B579" t="s">
        <v>1240</v>
      </c>
      <c r="C579" t="str">
        <f>VLOOKUP(A579,Districts!A:I,9,FALSE)</f>
        <v>Tempe Elementary School District</v>
      </c>
      <c r="D579" t="str">
        <f>VLOOKUP(A579,Districts!A:P,16,FALSE)</f>
        <v>P5RJCMCSX565</v>
      </c>
      <c r="E579" t="s">
        <v>528</v>
      </c>
      <c r="F579" s="1">
        <v>45200</v>
      </c>
      <c r="G579" t="s">
        <v>529</v>
      </c>
      <c r="H579" t="s">
        <v>530</v>
      </c>
      <c r="I579" s="59">
        <f>VLOOKUP(A579,'611'!D:F,3,FALSE)</f>
        <v>2473664.09</v>
      </c>
      <c r="J579" s="59">
        <f>VLOOKUP(A579,'611'!D:Q,14,FALSE)</f>
        <v>2556691.2599999998</v>
      </c>
      <c r="K579" s="59">
        <f>VLOOKUP(A579,'611'!D:Q,14,FALSE)</f>
        <v>2556691.2599999998</v>
      </c>
      <c r="O579" t="s">
        <v>531</v>
      </c>
      <c r="P579">
        <f>_xlfn.IFNA(VLOOKUP(A579,IndirectCost!B:L,11,FALSE),"")</f>
        <v>4.9000000000000004</v>
      </c>
      <c r="Q579">
        <f t="shared" si="8"/>
        <v>4.9000000000000002E-2</v>
      </c>
    </row>
    <row r="580" spans="1:17">
      <c r="A580" t="s">
        <v>1241</v>
      </c>
      <c r="B580" t="s">
        <v>1242</v>
      </c>
      <c r="C580" t="str">
        <f>VLOOKUP(A580,Districts!A:I,9,FALSE)</f>
        <v>Tempe Union High School District #213</v>
      </c>
      <c r="D580" t="str">
        <f>VLOOKUP(A580,Districts!A:P,16,FALSE)</f>
        <v>GDS4JBKPXFA8</v>
      </c>
      <c r="E580" t="s">
        <v>528</v>
      </c>
      <c r="F580" s="1">
        <v>45200</v>
      </c>
      <c r="G580" t="s">
        <v>529</v>
      </c>
      <c r="H580" t="s">
        <v>530</v>
      </c>
      <c r="I580" s="59">
        <f>VLOOKUP(A580,'611'!D:F,3,FALSE)</f>
        <v>2318901.1800000002</v>
      </c>
      <c r="J580" s="59">
        <f>VLOOKUP(A580,'611'!D:Q,14,FALSE)</f>
        <v>2608681.34</v>
      </c>
      <c r="K580" s="59">
        <f>VLOOKUP(A580,'611'!D:Q,14,FALSE)</f>
        <v>2608681.34</v>
      </c>
      <c r="O580" t="s">
        <v>531</v>
      </c>
      <c r="P580">
        <f>_xlfn.IFNA(VLOOKUP(A580,IndirectCost!B:L,11,FALSE),"")</f>
        <v>4.47</v>
      </c>
      <c r="Q580">
        <f t="shared" ref="Q580:Q643" si="9">IFERROR(P580/100,0)</f>
        <v>4.4699999999999997E-2</v>
      </c>
    </row>
    <row r="581" spans="1:17">
      <c r="A581" t="s">
        <v>1243</v>
      </c>
      <c r="B581" t="s">
        <v>1244</v>
      </c>
      <c r="C581">
        <f>VLOOKUP(A581,Districts!A:I,9,FALSE)</f>
        <v>0</v>
      </c>
      <c r="D581">
        <f>VLOOKUP(A581,Districts!A:P,16,FALSE)</f>
        <v>0</v>
      </c>
      <c r="E581" t="s">
        <v>528</v>
      </c>
      <c r="F581" s="1">
        <v>45200</v>
      </c>
      <c r="G581" t="s">
        <v>529</v>
      </c>
      <c r="H581" t="s">
        <v>530</v>
      </c>
      <c r="I581" s="59">
        <f>VLOOKUP(A581,'611'!D:F,3,FALSE)</f>
        <v>0</v>
      </c>
      <c r="J581" s="59">
        <f>VLOOKUP(A581,'611'!D:Q,14,FALSE)</f>
        <v>0</v>
      </c>
      <c r="K581" s="59">
        <f>VLOOKUP(A581,'611'!D:Q,14,FALSE)</f>
        <v>0</v>
      </c>
      <c r="O581" t="s">
        <v>531</v>
      </c>
      <c r="P581" t="str">
        <f>_xlfn.IFNA(VLOOKUP(A581,IndirectCost!B:L,11,FALSE),"")</f>
        <v/>
      </c>
      <c r="Q581">
        <f t="shared" si="9"/>
        <v>0</v>
      </c>
    </row>
    <row r="582" spans="1:17">
      <c r="A582" t="s">
        <v>452</v>
      </c>
      <c r="B582" t="s">
        <v>1245</v>
      </c>
      <c r="C582" t="str">
        <f>VLOOKUP(A582,Districts!A:I,9,FALSE)</f>
        <v>Thatcher Unified School District 4</v>
      </c>
      <c r="D582" t="str">
        <f>VLOOKUP(A582,Districts!A:P,16,FALSE)</f>
        <v>YPNPAYGUUZC6</v>
      </c>
      <c r="E582" t="s">
        <v>528</v>
      </c>
      <c r="F582" s="1">
        <v>45200</v>
      </c>
      <c r="G582" t="s">
        <v>529</v>
      </c>
      <c r="H582" t="s">
        <v>530</v>
      </c>
      <c r="I582" s="59">
        <f>VLOOKUP(A582,'611'!D:F,3,FALSE)</f>
        <v>321410.36</v>
      </c>
      <c r="J582" s="59">
        <f>VLOOKUP(A582,'611'!D:Q,14,FALSE)</f>
        <v>321410.36</v>
      </c>
      <c r="K582" s="59">
        <f>VLOOKUP(A582,'611'!D:Q,14,FALSE)</f>
        <v>321410.36</v>
      </c>
      <c r="O582" t="s">
        <v>531</v>
      </c>
      <c r="P582" t="str">
        <f>_xlfn.IFNA(VLOOKUP(A582,IndirectCost!B:L,11,FALSE),"")</f>
        <v/>
      </c>
      <c r="Q582">
        <f t="shared" si="9"/>
        <v>0</v>
      </c>
    </row>
    <row r="583" spans="1:17">
      <c r="A583" t="s">
        <v>453</v>
      </c>
      <c r="B583" t="s">
        <v>1246</v>
      </c>
      <c r="C583" t="str">
        <f>VLOOKUP(A583,Districts!A:I,9,FALSE)</f>
        <v>Boys &amp; Girls Clubs of the Valley, Inc</v>
      </c>
      <c r="D583" t="str">
        <f>VLOOKUP(A583,Districts!A:P,16,FALSE)</f>
        <v>LTVKRCUGBUK6</v>
      </c>
      <c r="E583" t="s">
        <v>528</v>
      </c>
      <c r="F583" s="1">
        <v>45200</v>
      </c>
      <c r="G583" t="s">
        <v>529</v>
      </c>
      <c r="H583" t="s">
        <v>530</v>
      </c>
      <c r="I583" s="59">
        <f>VLOOKUP(A583,'611'!D:F,3,FALSE)</f>
        <v>44525.919999999998</v>
      </c>
      <c r="J583" s="59">
        <f>VLOOKUP(A583,'611'!D:Q,14,FALSE)</f>
        <v>44525.919999999998</v>
      </c>
      <c r="K583" s="59">
        <f>VLOOKUP(A583,'611'!D:Q,14,FALSE)</f>
        <v>44525.919999999998</v>
      </c>
      <c r="O583" t="s">
        <v>531</v>
      </c>
      <c r="P583">
        <f>_xlfn.IFNA(VLOOKUP(A583,IndirectCost!B:L,11,FALSE),"")</f>
        <v>0</v>
      </c>
      <c r="Q583">
        <f t="shared" si="9"/>
        <v>0</v>
      </c>
    </row>
    <row r="584" spans="1:17">
      <c r="A584" t="s">
        <v>454</v>
      </c>
      <c r="B584" t="s">
        <v>1247</v>
      </c>
      <c r="C584" t="str">
        <f>VLOOKUP(A584,Districts!A:I,9,FALSE)</f>
        <v>The Charter Foundation Inc</v>
      </c>
      <c r="D584" t="str">
        <f>VLOOKUP(A584,Districts!A:P,16,FALSE)</f>
        <v>FWBXFYWDWYE1</v>
      </c>
      <c r="E584" t="s">
        <v>528</v>
      </c>
      <c r="F584" s="1">
        <v>45200</v>
      </c>
      <c r="G584" t="s">
        <v>529</v>
      </c>
      <c r="H584" t="s">
        <v>530</v>
      </c>
      <c r="I584" s="59">
        <f>VLOOKUP(A584,'611'!D:F,3,FALSE)</f>
        <v>110455.46</v>
      </c>
      <c r="J584" s="59">
        <f>VLOOKUP(A584,'611'!D:Q,14,FALSE)</f>
        <v>110455.46</v>
      </c>
      <c r="K584" s="59">
        <f>VLOOKUP(A584,'611'!D:Q,14,FALSE)</f>
        <v>110455.46</v>
      </c>
      <c r="O584" t="s">
        <v>531</v>
      </c>
      <c r="P584" t="str">
        <f>_xlfn.IFNA(VLOOKUP(A584,IndirectCost!B:L,11,FALSE),"")</f>
        <v/>
      </c>
      <c r="Q584">
        <f t="shared" si="9"/>
        <v>0</v>
      </c>
    </row>
    <row r="585" spans="1:17">
      <c r="A585" t="s">
        <v>1248</v>
      </c>
      <c r="B585" t="s">
        <v>1249</v>
      </c>
      <c r="C585" t="str">
        <f>VLOOKUP(A585,Districts!A:I,9,FALSE)</f>
        <v>THE FARM AT MISSION MONTESSORI ACADEMY</v>
      </c>
      <c r="D585" t="str">
        <f>VLOOKUP(A585,Districts!A:P,16,FALSE)</f>
        <v>JN11X9CHA775</v>
      </c>
      <c r="E585" t="s">
        <v>528</v>
      </c>
      <c r="F585" s="1">
        <v>45200</v>
      </c>
      <c r="G585" t="s">
        <v>529</v>
      </c>
      <c r="H585" t="s">
        <v>530</v>
      </c>
      <c r="I585" s="59">
        <f>VLOOKUP(A585,'611'!D:F,3,FALSE)</f>
        <v>6910.22</v>
      </c>
      <c r="J585" s="59">
        <f>VLOOKUP(A585,'611'!D:Q,14,FALSE)</f>
        <v>12911.86</v>
      </c>
      <c r="K585" s="59">
        <f>VLOOKUP(A585,'611'!D:Q,14,FALSE)</f>
        <v>12911.86</v>
      </c>
      <c r="O585" t="s">
        <v>531</v>
      </c>
      <c r="P585" t="str">
        <f>_xlfn.IFNA(VLOOKUP(A585,IndirectCost!B:L,11,FALSE),"")</f>
        <v/>
      </c>
      <c r="Q585">
        <f t="shared" si="9"/>
        <v>0</v>
      </c>
    </row>
    <row r="586" spans="1:17">
      <c r="A586" t="s">
        <v>455</v>
      </c>
      <c r="B586" t="s">
        <v>1250</v>
      </c>
      <c r="C586" t="str">
        <f>VLOOKUP(A586,Districts!A:I,9,FALSE)</f>
        <v>The Grande Innovation Academy</v>
      </c>
      <c r="D586" t="str">
        <f>VLOOKUP(A586,Districts!A:P,16,FALSE)</f>
        <v>DGG3LKYG1PK3</v>
      </c>
      <c r="E586" t="s">
        <v>528</v>
      </c>
      <c r="F586" s="1">
        <v>45200</v>
      </c>
      <c r="G586" t="s">
        <v>529</v>
      </c>
      <c r="H586" t="s">
        <v>530</v>
      </c>
      <c r="I586" s="59">
        <f>VLOOKUP(A586,'611'!D:F,3,FALSE)</f>
        <v>134685.69</v>
      </c>
      <c r="J586" s="59">
        <f>VLOOKUP(A586,'611'!D:Q,14,FALSE)</f>
        <v>134685.69</v>
      </c>
      <c r="K586" s="59">
        <f>VLOOKUP(A586,'611'!D:Q,14,FALSE)</f>
        <v>134685.69</v>
      </c>
      <c r="O586" t="s">
        <v>531</v>
      </c>
      <c r="P586" t="str">
        <f>_xlfn.IFNA(VLOOKUP(A586,IndirectCost!B:L,11,FALSE),"")</f>
        <v/>
      </c>
      <c r="Q586">
        <f t="shared" si="9"/>
        <v>0</v>
      </c>
    </row>
    <row r="587" spans="1:17">
      <c r="A587" t="s">
        <v>456</v>
      </c>
      <c r="B587" t="s">
        <v>1251</v>
      </c>
      <c r="C587" t="str">
        <f>VLOOKUP(A587,Districts!A:I,9,FALSE)</f>
        <v>Odyssey preparatory academy, inc. The</v>
      </c>
      <c r="D587" t="str">
        <f>VLOOKUP(A587,Districts!A:P,16,FALSE)</f>
        <v>ZML9AGSNVMJ5</v>
      </c>
      <c r="E587" t="s">
        <v>528</v>
      </c>
      <c r="F587" s="1">
        <v>45200</v>
      </c>
      <c r="G587" t="s">
        <v>529</v>
      </c>
      <c r="H587" t="s">
        <v>530</v>
      </c>
      <c r="I587" s="59">
        <f>VLOOKUP(A587,'611'!D:F,3,FALSE)</f>
        <v>441893.61</v>
      </c>
      <c r="J587" s="59">
        <f>VLOOKUP(A587,'611'!D:Q,14,FALSE)</f>
        <v>441893.61</v>
      </c>
      <c r="K587" s="59">
        <f>VLOOKUP(A587,'611'!D:Q,14,FALSE)</f>
        <v>441893.61</v>
      </c>
      <c r="O587" t="s">
        <v>531</v>
      </c>
      <c r="P587">
        <f>_xlfn.IFNA(VLOOKUP(A587,IndirectCost!B:L,11,FALSE),"")</f>
        <v>0</v>
      </c>
      <c r="Q587">
        <f t="shared" si="9"/>
        <v>0</v>
      </c>
    </row>
    <row r="588" spans="1:17">
      <c r="A588" t="s">
        <v>457</v>
      </c>
      <c r="B588" t="s">
        <v>1252</v>
      </c>
      <c r="C588" t="str">
        <f>VLOOKUP(A588,Districts!A:I,9,FALSE)</f>
        <v>THE PAIDEIA ACADEMIES INC</v>
      </c>
      <c r="D588" t="str">
        <f>VLOOKUP(A588,Districts!A:P,16,FALSE)</f>
        <v>CVZPAAV89ZT5</v>
      </c>
      <c r="E588" t="s">
        <v>528</v>
      </c>
      <c r="F588" s="1">
        <v>45200</v>
      </c>
      <c r="G588" t="s">
        <v>529</v>
      </c>
      <c r="H588" t="s">
        <v>530</v>
      </c>
      <c r="I588" s="59">
        <f>VLOOKUP(A588,'611'!D:F,3,FALSE)</f>
        <v>143399.20000000001</v>
      </c>
      <c r="J588" s="59">
        <f>VLOOKUP(A588,'611'!D:Q,14,FALSE)</f>
        <v>143399.20000000001</v>
      </c>
      <c r="K588" s="59">
        <f>VLOOKUP(A588,'611'!D:Q,14,FALSE)</f>
        <v>143399.20000000001</v>
      </c>
      <c r="O588" t="s">
        <v>531</v>
      </c>
      <c r="P588">
        <f>_xlfn.IFNA(VLOOKUP(A588,IndirectCost!B:L,11,FALSE),"")</f>
        <v>0</v>
      </c>
      <c r="Q588">
        <f t="shared" si="9"/>
        <v>0</v>
      </c>
    </row>
    <row r="589" spans="1:17">
      <c r="A589" t="s">
        <v>1253</v>
      </c>
      <c r="B589" t="s">
        <v>1254</v>
      </c>
      <c r="C589" t="str">
        <f>VLOOKUP(A589,Districts!A:I,9,FALSE)</f>
        <v>Think Through Academy</v>
      </c>
      <c r="D589" t="str">
        <f>VLOOKUP(A589,Districts!A:P,16,FALSE)</f>
        <v>Y856W8RA5Z57</v>
      </c>
      <c r="E589" t="s">
        <v>528</v>
      </c>
      <c r="F589" s="1">
        <v>45200</v>
      </c>
      <c r="G589" t="s">
        <v>529</v>
      </c>
      <c r="H589" t="s">
        <v>530</v>
      </c>
      <c r="I589" s="59">
        <f>VLOOKUP(A589,'611'!D:F,3,FALSE)</f>
        <v>9268.09</v>
      </c>
      <c r="J589" s="59">
        <f>VLOOKUP(A589,'611'!D:Q,14,FALSE)</f>
        <v>16224.62</v>
      </c>
      <c r="K589" s="59">
        <f>VLOOKUP(A589,'611'!D:Q,14,FALSE)</f>
        <v>16224.62</v>
      </c>
      <c r="O589" t="s">
        <v>531</v>
      </c>
      <c r="P589">
        <f>_xlfn.IFNA(VLOOKUP(A589,IndirectCost!B:L,11,FALSE),"")</f>
        <v>8</v>
      </c>
      <c r="Q589">
        <f t="shared" si="9"/>
        <v>0.08</v>
      </c>
    </row>
    <row r="590" spans="1:17">
      <c r="A590" t="s">
        <v>1255</v>
      </c>
      <c r="B590" t="s">
        <v>1256</v>
      </c>
      <c r="C590" t="str">
        <f>VLOOKUP(A590,Districts!A:I,9,FALSE)</f>
        <v>ThrivePoint High School Inc.</v>
      </c>
      <c r="D590" t="str">
        <f>VLOOKUP(A590,Districts!A:P,16,FALSE)</f>
        <v>SFNDX5T9FQC9</v>
      </c>
      <c r="E590" t="s">
        <v>528</v>
      </c>
      <c r="F590" s="1">
        <v>45200</v>
      </c>
      <c r="G590" t="s">
        <v>529</v>
      </c>
      <c r="H590" t="s">
        <v>530</v>
      </c>
      <c r="I590" s="59">
        <f>VLOOKUP(A590,'611'!D:F,3,FALSE)</f>
        <v>109100.05</v>
      </c>
      <c r="J590" s="59">
        <f>VLOOKUP(A590,'611'!D:Q,14,FALSE)</f>
        <v>109100.05</v>
      </c>
      <c r="K590" s="59">
        <f>VLOOKUP(A590,'611'!D:Q,14,FALSE)</f>
        <v>109100.05</v>
      </c>
      <c r="O590" t="s">
        <v>531</v>
      </c>
      <c r="P590" t="str">
        <f>_xlfn.IFNA(VLOOKUP(A590,IndirectCost!B:L,11,FALSE),"")</f>
        <v/>
      </c>
      <c r="Q590">
        <f t="shared" si="9"/>
        <v>0</v>
      </c>
    </row>
    <row r="591" spans="1:17">
      <c r="A591" t="s">
        <v>458</v>
      </c>
      <c r="B591" t="s">
        <v>1257</v>
      </c>
      <c r="C591" t="str">
        <f>VLOOKUP(A591,Districts!A:I,9,FALSE)</f>
        <v>Tolleson Elementary School District 17</v>
      </c>
      <c r="D591" t="str">
        <f>VLOOKUP(A591,Districts!A:P,16,FALSE)</f>
        <v>SEDFA1752G18</v>
      </c>
      <c r="E591" t="s">
        <v>528</v>
      </c>
      <c r="F591" s="1">
        <v>45200</v>
      </c>
      <c r="G591" t="s">
        <v>529</v>
      </c>
      <c r="H591" t="s">
        <v>530</v>
      </c>
      <c r="I591" s="59">
        <f>VLOOKUP(A591,'611'!D:F,3,FALSE)</f>
        <v>546110.68000000005</v>
      </c>
      <c r="J591" s="59">
        <f>VLOOKUP(A591,'611'!D:Q,14,FALSE)</f>
        <v>781183.51</v>
      </c>
      <c r="K591" s="59">
        <f>VLOOKUP(A591,'611'!D:Q,14,FALSE)</f>
        <v>781183.51</v>
      </c>
      <c r="O591" t="s">
        <v>531</v>
      </c>
      <c r="P591">
        <f>_xlfn.IFNA(VLOOKUP(A591,IndirectCost!B:L,11,FALSE),"")</f>
        <v>4.32</v>
      </c>
      <c r="Q591">
        <f t="shared" si="9"/>
        <v>4.3200000000000002E-2</v>
      </c>
    </row>
    <row r="592" spans="1:17">
      <c r="A592" t="s">
        <v>1258</v>
      </c>
      <c r="B592" t="s">
        <v>1259</v>
      </c>
      <c r="C592" t="str">
        <f>VLOOKUP(A592,Districts!A:I,9,FALSE)</f>
        <v>Maricopa County of dba Tolleson Union High School District 214</v>
      </c>
      <c r="D592" t="str">
        <f>VLOOKUP(A592,Districts!A:P,16,FALSE)</f>
        <v>LMCMVMY1E853</v>
      </c>
      <c r="E592" t="s">
        <v>528</v>
      </c>
      <c r="F592" s="1">
        <v>45200</v>
      </c>
      <c r="G592" t="s">
        <v>529</v>
      </c>
      <c r="H592" t="s">
        <v>530</v>
      </c>
      <c r="I592" s="59">
        <f>VLOOKUP(A592,'611'!D:F,3,FALSE)</f>
        <v>2410984.16</v>
      </c>
      <c r="J592" s="59">
        <f>VLOOKUP(A592,'611'!D:Q,14,FALSE)</f>
        <v>3702600.23</v>
      </c>
      <c r="K592" s="59">
        <f>VLOOKUP(A592,'611'!D:Q,14,FALSE)</f>
        <v>3702600.23</v>
      </c>
      <c r="O592" t="s">
        <v>531</v>
      </c>
      <c r="P592">
        <f>_xlfn.IFNA(VLOOKUP(A592,IndirectCost!B:L,11,FALSE),"")</f>
        <v>3.68</v>
      </c>
      <c r="Q592">
        <f t="shared" si="9"/>
        <v>3.6799999999999999E-2</v>
      </c>
    </row>
    <row r="593" spans="1:17">
      <c r="A593" t="s">
        <v>459</v>
      </c>
      <c r="B593" t="s">
        <v>1260</v>
      </c>
      <c r="C593" t="str">
        <f>VLOOKUP(A593,Districts!A:I,9,FALSE)</f>
        <v>Toltec School District</v>
      </c>
      <c r="D593" t="str">
        <f>VLOOKUP(A593,Districts!A:P,16,FALSE)</f>
        <v>E6F7WZK5PWR9</v>
      </c>
      <c r="E593" t="s">
        <v>528</v>
      </c>
      <c r="F593" s="1">
        <v>45200</v>
      </c>
      <c r="G593" t="s">
        <v>529</v>
      </c>
      <c r="H593" t="s">
        <v>530</v>
      </c>
      <c r="I593" s="59">
        <f>VLOOKUP(A593,'611'!D:F,3,FALSE)</f>
        <v>252786.74</v>
      </c>
      <c r="J593" s="59">
        <f>VLOOKUP(A593,'611'!D:Q,14,FALSE)</f>
        <v>268840.38</v>
      </c>
      <c r="K593" s="59">
        <f>VLOOKUP(A593,'611'!D:Q,14,FALSE)</f>
        <v>268840.38</v>
      </c>
      <c r="O593" t="s">
        <v>531</v>
      </c>
      <c r="P593">
        <f>_xlfn.IFNA(VLOOKUP(A593,IndirectCost!B:L,11,FALSE),"")</f>
        <v>0</v>
      </c>
      <c r="Q593">
        <f t="shared" si="9"/>
        <v>0</v>
      </c>
    </row>
    <row r="594" spans="1:17">
      <c r="A594" t="s">
        <v>460</v>
      </c>
      <c r="B594" t="s">
        <v>1261</v>
      </c>
      <c r="C594" t="str">
        <f>VLOOKUP(A594,Districts!A:I,9,FALSE)</f>
        <v>Tombstone Unified School District 1</v>
      </c>
      <c r="D594" t="str">
        <f>VLOOKUP(A594,Districts!A:P,16,FALSE)</f>
        <v>MDKJJDR17D95</v>
      </c>
      <c r="E594" t="s">
        <v>528</v>
      </c>
      <c r="F594" s="1">
        <v>45200</v>
      </c>
      <c r="G594" t="s">
        <v>529</v>
      </c>
      <c r="H594" t="s">
        <v>530</v>
      </c>
      <c r="I594" s="59">
        <f>VLOOKUP(A594,'611'!D:F,3,FALSE)</f>
        <v>198147.72</v>
      </c>
      <c r="J594" s="59">
        <f>VLOOKUP(A594,'611'!D:Q,14,FALSE)</f>
        <v>198147.72</v>
      </c>
      <c r="K594" s="59">
        <f>VLOOKUP(A594,'611'!D:Q,14,FALSE)</f>
        <v>198147.72</v>
      </c>
      <c r="O594" t="s">
        <v>531</v>
      </c>
      <c r="P594">
        <f>_xlfn.IFNA(VLOOKUP(A594,IndirectCost!B:L,11,FALSE),"")</f>
        <v>0.43</v>
      </c>
      <c r="Q594">
        <f t="shared" si="9"/>
        <v>4.3E-3</v>
      </c>
    </row>
    <row r="595" spans="1:17">
      <c r="A595" t="s">
        <v>461</v>
      </c>
      <c r="B595" t="s">
        <v>1262</v>
      </c>
      <c r="C595" t="str">
        <f>VLOOKUP(A595,Districts!A:I,9,FALSE)</f>
        <v>Tonto Basin Elementary School District #33</v>
      </c>
      <c r="D595" t="str">
        <f>VLOOKUP(A595,Districts!A:P,16,FALSE)</f>
        <v>FJKZCB3JQ866</v>
      </c>
      <c r="E595" t="s">
        <v>528</v>
      </c>
      <c r="F595" s="1">
        <v>45200</v>
      </c>
      <c r="G595" t="s">
        <v>529</v>
      </c>
      <c r="H595" t="s">
        <v>530</v>
      </c>
      <c r="I595" s="59">
        <f>VLOOKUP(A595,'611'!D:F,3,FALSE)</f>
        <v>26374.82</v>
      </c>
      <c r="J595" s="59">
        <f>VLOOKUP(A595,'611'!D:Q,14,FALSE)</f>
        <v>26374.82</v>
      </c>
      <c r="K595" s="59">
        <f>VLOOKUP(A595,'611'!D:Q,14,FALSE)</f>
        <v>26374.82</v>
      </c>
      <c r="O595" t="s">
        <v>531</v>
      </c>
      <c r="P595">
        <f>_xlfn.IFNA(VLOOKUP(A595,IndirectCost!B:L,11,FALSE),"")</f>
        <v>0</v>
      </c>
      <c r="Q595">
        <f t="shared" si="9"/>
        <v>0</v>
      </c>
    </row>
    <row r="596" spans="1:17">
      <c r="A596" t="s">
        <v>462</v>
      </c>
      <c r="B596" t="s">
        <v>1263</v>
      </c>
      <c r="C596" t="str">
        <f>VLOOKUP(A596,Districts!A:I,9,FALSE)</f>
        <v>Topock Elementary School Dist 12</v>
      </c>
      <c r="D596" t="str">
        <f>VLOOKUP(A596,Districts!A:P,16,FALSE)</f>
        <v>MFYWKC13M119</v>
      </c>
      <c r="E596" t="s">
        <v>528</v>
      </c>
      <c r="F596" s="1">
        <v>45200</v>
      </c>
      <c r="G596" t="s">
        <v>529</v>
      </c>
      <c r="H596" t="s">
        <v>530</v>
      </c>
      <c r="I596" s="59">
        <f>VLOOKUP(A596,'611'!D:F,3,FALSE)</f>
        <v>34163.519999999997</v>
      </c>
      <c r="J596" s="59">
        <f>VLOOKUP(A596,'611'!D:Q,14,FALSE)</f>
        <v>34163.519999999997</v>
      </c>
      <c r="K596" s="59">
        <f>VLOOKUP(A596,'611'!D:Q,14,FALSE)</f>
        <v>34163.519999999997</v>
      </c>
      <c r="O596" t="s">
        <v>531</v>
      </c>
      <c r="P596" t="str">
        <f>_xlfn.IFNA(VLOOKUP(A596,IndirectCost!B:L,11,FALSE),"")</f>
        <v/>
      </c>
      <c r="Q596">
        <f t="shared" si="9"/>
        <v>0</v>
      </c>
    </row>
    <row r="597" spans="1:17">
      <c r="A597" t="s">
        <v>463</v>
      </c>
      <c r="B597" t="s">
        <v>1264</v>
      </c>
      <c r="C597" t="str">
        <f>VLOOKUP(A597,Districts!A:I,9,FALSE)</f>
        <v>Triumphant Learning Center, Inc</v>
      </c>
      <c r="D597" t="str">
        <f>VLOOKUP(A597,Districts!A:P,16,FALSE)</f>
        <v>VGZTHEKMPB95</v>
      </c>
      <c r="E597" t="s">
        <v>528</v>
      </c>
      <c r="F597" s="1">
        <v>45200</v>
      </c>
      <c r="G597" t="s">
        <v>529</v>
      </c>
      <c r="H597" t="s">
        <v>530</v>
      </c>
      <c r="I597" s="59">
        <f>VLOOKUP(A597,'611'!D:F,3,FALSE)</f>
        <v>17973</v>
      </c>
      <c r="J597" s="59">
        <f>VLOOKUP(A597,'611'!D:Q,14,FALSE)</f>
        <v>19114.310000000001</v>
      </c>
      <c r="K597" s="59">
        <f>VLOOKUP(A597,'611'!D:Q,14,FALSE)</f>
        <v>19114.310000000001</v>
      </c>
      <c r="O597" t="s">
        <v>531</v>
      </c>
      <c r="P597" t="str">
        <f>_xlfn.IFNA(VLOOKUP(A597,IndirectCost!B:L,11,FALSE),"")</f>
        <v/>
      </c>
      <c r="Q597">
        <f t="shared" si="9"/>
        <v>0</v>
      </c>
    </row>
    <row r="598" spans="1:17">
      <c r="A598" t="s">
        <v>1265</v>
      </c>
      <c r="B598" t="s">
        <v>1266</v>
      </c>
      <c r="C598" t="str">
        <f>VLOOKUP(A598,Districts!A:I,9,FALSE)</f>
        <v>Trivium Preparatory Academy</v>
      </c>
      <c r="D598" t="str">
        <f>VLOOKUP(A598,Districts!A:P,16,FALSE)</f>
        <v>LQF4QQG8HQ17</v>
      </c>
      <c r="E598" t="s">
        <v>528</v>
      </c>
      <c r="F598" s="1">
        <v>45200</v>
      </c>
      <c r="G598" t="s">
        <v>529</v>
      </c>
      <c r="H598" t="s">
        <v>530</v>
      </c>
      <c r="I598" s="59">
        <f>VLOOKUP(A598,'611'!D:F,3,FALSE)</f>
        <v>125851.04</v>
      </c>
      <c r="J598" s="59">
        <f>VLOOKUP(A598,'611'!D:Q,14,FALSE)</f>
        <v>125851.04</v>
      </c>
      <c r="K598" s="59">
        <f>VLOOKUP(A598,'611'!D:Q,14,FALSE)</f>
        <v>125851.04</v>
      </c>
      <c r="O598" t="s">
        <v>531</v>
      </c>
      <c r="P598">
        <f>_xlfn.IFNA(VLOOKUP(A598,IndirectCost!B:L,11,FALSE),"")</f>
        <v>8</v>
      </c>
      <c r="Q598">
        <f t="shared" si="9"/>
        <v>0.08</v>
      </c>
    </row>
    <row r="599" spans="1:17">
      <c r="A599" t="s">
        <v>464</v>
      </c>
      <c r="B599" t="s">
        <v>1267</v>
      </c>
      <c r="C599" t="str">
        <f>VLOOKUP(A599,Districts!A:I,9,FALSE)</f>
        <v>Tuba City Unified School District #15</v>
      </c>
      <c r="D599" t="str">
        <f>VLOOKUP(A599,Districts!A:P,16,FALSE)</f>
        <v>W5ZHDAXY8S79</v>
      </c>
      <c r="E599" t="s">
        <v>528</v>
      </c>
      <c r="F599" s="1">
        <v>45200</v>
      </c>
      <c r="G599" t="s">
        <v>529</v>
      </c>
      <c r="H599" t="s">
        <v>530</v>
      </c>
      <c r="I599" s="59">
        <f>VLOOKUP(A599,'611'!D:F,3,FALSE)</f>
        <v>389262.66</v>
      </c>
      <c r="J599" s="59">
        <f>VLOOKUP(A599,'611'!D:Q,14,FALSE)</f>
        <v>461870.16</v>
      </c>
      <c r="K599" s="59">
        <f>VLOOKUP(A599,'611'!D:Q,14,FALSE)</f>
        <v>461870.16</v>
      </c>
      <c r="O599" t="s">
        <v>531</v>
      </c>
      <c r="P599">
        <f>_xlfn.IFNA(VLOOKUP(A599,IndirectCost!B:L,11,FALSE),"")</f>
        <v>6.45</v>
      </c>
      <c r="Q599">
        <f t="shared" si="9"/>
        <v>6.4500000000000002E-2</v>
      </c>
    </row>
    <row r="600" spans="1:17">
      <c r="A600" t="s">
        <v>465</v>
      </c>
      <c r="B600" t="s">
        <v>1268</v>
      </c>
      <c r="C600" t="str">
        <f>VLOOKUP(A600,Districts!A:I,9,FALSE)</f>
        <v>Tucson Country Day School, Inc</v>
      </c>
      <c r="D600" t="str">
        <f>VLOOKUP(A600,Districts!A:P,16,FALSE)</f>
        <v>MQVXT5VE4TD8</v>
      </c>
      <c r="E600" t="s">
        <v>528</v>
      </c>
      <c r="F600" s="1">
        <v>45200</v>
      </c>
      <c r="G600" t="s">
        <v>529</v>
      </c>
      <c r="H600" t="s">
        <v>530</v>
      </c>
      <c r="I600" s="59">
        <f>VLOOKUP(A600,'611'!D:F,3,FALSE)</f>
        <v>75439.509999999995</v>
      </c>
      <c r="J600" s="59">
        <f>VLOOKUP(A600,'611'!D:Q,14,FALSE)</f>
        <v>75439.509999999995</v>
      </c>
      <c r="K600" s="59">
        <f>VLOOKUP(A600,'611'!D:Q,14,FALSE)</f>
        <v>75439.509999999995</v>
      </c>
      <c r="O600" t="s">
        <v>531</v>
      </c>
      <c r="P600">
        <f>_xlfn.IFNA(VLOOKUP(A600,IndirectCost!B:L,11,FALSE),"")</f>
        <v>0</v>
      </c>
      <c r="Q600">
        <f t="shared" si="9"/>
        <v>0</v>
      </c>
    </row>
    <row r="601" spans="1:17">
      <c r="A601" t="s">
        <v>466</v>
      </c>
      <c r="B601" t="s">
        <v>1269</v>
      </c>
      <c r="C601" t="str">
        <f>VLOOKUP(A601,Districts!A:I,9,FALSE)</f>
        <v>Tucson International Academy</v>
      </c>
      <c r="D601" t="str">
        <f>VLOOKUP(A601,Districts!A:P,16,FALSE)</f>
        <v>C1FHKM58AAS8</v>
      </c>
      <c r="E601" t="s">
        <v>528</v>
      </c>
      <c r="F601" s="1">
        <v>45200</v>
      </c>
      <c r="G601" t="s">
        <v>529</v>
      </c>
      <c r="H601" t="s">
        <v>530</v>
      </c>
      <c r="I601" s="59">
        <f>VLOOKUP(A601,'611'!D:F,3,FALSE)</f>
        <v>66729.72</v>
      </c>
      <c r="J601" s="59">
        <f>VLOOKUP(A601,'611'!D:Q,14,FALSE)</f>
        <v>66729.72</v>
      </c>
      <c r="K601" s="59">
        <f>VLOOKUP(A601,'611'!D:Q,14,FALSE)</f>
        <v>66729.72</v>
      </c>
      <c r="O601" t="s">
        <v>531</v>
      </c>
      <c r="P601">
        <f>_xlfn.IFNA(VLOOKUP(A601,IndirectCost!B:L,11,FALSE),"")</f>
        <v>8</v>
      </c>
      <c r="Q601">
        <f t="shared" si="9"/>
        <v>0.08</v>
      </c>
    </row>
    <row r="602" spans="1:17">
      <c r="A602" t="s">
        <v>1270</v>
      </c>
      <c r="B602" t="s">
        <v>1271</v>
      </c>
      <c r="C602" t="str">
        <f>VLOOKUP(A602,Districts!A:I,9,FALSE)</f>
        <v>Tucson Preparatory School</v>
      </c>
      <c r="D602" t="str">
        <f>VLOOKUP(A602,Districts!A:P,16,FALSE)</f>
        <v>MW48FPFYB3E5</v>
      </c>
      <c r="E602" t="s">
        <v>528</v>
      </c>
      <c r="F602" s="1">
        <v>45200</v>
      </c>
      <c r="G602" t="s">
        <v>529</v>
      </c>
      <c r="H602" t="s">
        <v>530</v>
      </c>
      <c r="I602" s="59">
        <f>VLOOKUP(A602,'611'!D:F,3,FALSE)</f>
        <v>24222.13</v>
      </c>
      <c r="J602" s="59">
        <f>VLOOKUP(A602,'611'!D:Q,14,FALSE)</f>
        <v>24222.13</v>
      </c>
      <c r="K602" s="59">
        <f>VLOOKUP(A602,'611'!D:Q,14,FALSE)</f>
        <v>24222.13</v>
      </c>
      <c r="O602" t="s">
        <v>531</v>
      </c>
      <c r="P602" t="str">
        <f>_xlfn.IFNA(VLOOKUP(A602,IndirectCost!B:L,11,FALSE),"")</f>
        <v/>
      </c>
      <c r="Q602">
        <f t="shared" si="9"/>
        <v>0</v>
      </c>
    </row>
    <row r="603" spans="1:17">
      <c r="A603" t="s">
        <v>467</v>
      </c>
      <c r="B603" t="s">
        <v>1272</v>
      </c>
      <c r="C603" t="str">
        <f>VLOOKUP(A603,Districts!A:I,9,FALSE)</f>
        <v>Tucson Unified School District</v>
      </c>
      <c r="D603" t="str">
        <f>VLOOKUP(A603,Districts!A:P,16,FALSE)</f>
        <v>J1PVZD6TFYN8</v>
      </c>
      <c r="E603" t="s">
        <v>528</v>
      </c>
      <c r="F603" s="1">
        <v>45200</v>
      </c>
      <c r="G603" t="s">
        <v>529</v>
      </c>
      <c r="H603" t="s">
        <v>530</v>
      </c>
      <c r="I603" s="59">
        <f>VLOOKUP(A603,'611'!D:F,3,FALSE)</f>
        <v>10184702.859999999</v>
      </c>
      <c r="J603" s="59">
        <f>VLOOKUP(A603,'611'!D:Q,14,FALSE)</f>
        <v>12278134.08</v>
      </c>
      <c r="K603" s="59">
        <f>VLOOKUP(A603,'611'!D:Q,14,FALSE)</f>
        <v>12278134.08</v>
      </c>
      <c r="O603" t="s">
        <v>531</v>
      </c>
      <c r="P603">
        <f>_xlfn.IFNA(VLOOKUP(A603,IndirectCost!B:L,11,FALSE),"")</f>
        <v>3.52</v>
      </c>
      <c r="Q603">
        <f t="shared" si="9"/>
        <v>3.5200000000000002E-2</v>
      </c>
    </row>
    <row r="604" spans="1:17">
      <c r="A604" t="s">
        <v>1273</v>
      </c>
      <c r="B604" t="s">
        <v>1274</v>
      </c>
      <c r="C604" t="str">
        <f>VLOOKUP(A604,Districts!A:I,9,FALSE)</f>
        <v>TUCSON YOUTH DEVELOPMENT INC</v>
      </c>
      <c r="D604" t="str">
        <f>VLOOKUP(A604,Districts!A:P,16,FALSE)</f>
        <v>NLW3JWQYME45</v>
      </c>
      <c r="E604" t="s">
        <v>528</v>
      </c>
      <c r="F604" s="1">
        <v>45200</v>
      </c>
      <c r="G604" t="s">
        <v>529</v>
      </c>
      <c r="H604" t="s">
        <v>530</v>
      </c>
      <c r="I604" s="59">
        <f>VLOOKUP(A604,'611'!D:F,3,FALSE)</f>
        <v>73177.89</v>
      </c>
      <c r="J604" s="59">
        <f>VLOOKUP(A604,'611'!D:Q,14,FALSE)</f>
        <v>118080.24</v>
      </c>
      <c r="K604" s="59">
        <f>VLOOKUP(A604,'611'!D:Q,14,FALSE)</f>
        <v>118080.24</v>
      </c>
      <c r="O604" t="s">
        <v>531</v>
      </c>
      <c r="P604">
        <f>_xlfn.IFNA(VLOOKUP(A604,IndirectCost!B:L,11,FALSE),"")</f>
        <v>8</v>
      </c>
      <c r="Q604">
        <f t="shared" si="9"/>
        <v>0.08</v>
      </c>
    </row>
    <row r="605" spans="1:17">
      <c r="A605" t="s">
        <v>468</v>
      </c>
      <c r="B605" t="s">
        <v>1275</v>
      </c>
      <c r="C605" t="str">
        <f>VLOOKUP(A605,Districts!A:I,9,FALSE)</f>
        <v>21st  Century Charter Schools, Inc</v>
      </c>
      <c r="D605" t="str">
        <f>VLOOKUP(A605,Districts!A:P,16,FALSE)</f>
        <v>GDKHDN3LGGN6</v>
      </c>
      <c r="E605" t="s">
        <v>528</v>
      </c>
      <c r="F605" s="1">
        <v>45200</v>
      </c>
      <c r="G605" t="s">
        <v>529</v>
      </c>
      <c r="H605" t="s">
        <v>530</v>
      </c>
      <c r="I605" s="59">
        <f>VLOOKUP(A605,'611'!D:F,3,FALSE)</f>
        <v>31068.63</v>
      </c>
      <c r="J605" s="59">
        <f>VLOOKUP(A605,'611'!D:Q,14,FALSE)</f>
        <v>31068.63</v>
      </c>
      <c r="K605" s="59">
        <f>VLOOKUP(A605,'611'!D:Q,14,FALSE)</f>
        <v>31068.63</v>
      </c>
      <c r="O605" t="s">
        <v>531</v>
      </c>
      <c r="P605" t="str">
        <f>_xlfn.IFNA(VLOOKUP(A605,IndirectCost!B:L,11,FALSE),"")</f>
        <v/>
      </c>
      <c r="Q605">
        <f t="shared" si="9"/>
        <v>0</v>
      </c>
    </row>
    <row r="606" spans="1:17">
      <c r="A606" t="s">
        <v>469</v>
      </c>
      <c r="B606" t="s">
        <v>1276</v>
      </c>
      <c r="C606" t="str">
        <f>VLOOKUP(A606,Districts!A:I,9,FALSE)</f>
        <v>Union Elementary School District #62</v>
      </c>
      <c r="D606" t="str">
        <f>VLOOKUP(A606,Districts!A:P,16,FALSE)</f>
        <v>NX7CD8GR2S41</v>
      </c>
      <c r="E606" t="s">
        <v>528</v>
      </c>
      <c r="F606" s="1">
        <v>45200</v>
      </c>
      <c r="G606" t="s">
        <v>529</v>
      </c>
      <c r="H606" t="s">
        <v>530</v>
      </c>
      <c r="I606" s="59">
        <f>VLOOKUP(A606,'611'!D:F,3,FALSE)</f>
        <v>285412.82</v>
      </c>
      <c r="J606" s="59">
        <f>VLOOKUP(A606,'611'!D:Q,14,FALSE)</f>
        <v>383192.8</v>
      </c>
      <c r="K606" s="59">
        <f>VLOOKUP(A606,'611'!D:Q,14,FALSE)</f>
        <v>383192.8</v>
      </c>
      <c r="O606" t="s">
        <v>531</v>
      </c>
      <c r="P606">
        <f>_xlfn.IFNA(VLOOKUP(A606,IndirectCost!B:L,11,FALSE),"")</f>
        <v>5.6</v>
      </c>
      <c r="Q606">
        <f t="shared" si="9"/>
        <v>5.5999999999999994E-2</v>
      </c>
    </row>
    <row r="607" spans="1:17">
      <c r="A607" t="s">
        <v>470</v>
      </c>
      <c r="B607" t="s">
        <v>1277</v>
      </c>
      <c r="C607" t="str">
        <f>VLOOKUP(A607,Districts!A:I,9,FALSE)</f>
        <v>VAIL UNIFIED SCHOOL DISTRICT 20</v>
      </c>
      <c r="D607" t="str">
        <f>VLOOKUP(A607,Districts!A:P,16,FALSE)</f>
        <v>NWUJEKLHGM17</v>
      </c>
      <c r="E607" t="s">
        <v>528</v>
      </c>
      <c r="F607" s="1">
        <v>45200</v>
      </c>
      <c r="G607" t="s">
        <v>529</v>
      </c>
      <c r="H607" t="s">
        <v>530</v>
      </c>
      <c r="I607" s="59">
        <f>VLOOKUP(A607,'611'!D:F,3,FALSE)</f>
        <v>2351510.7200000002</v>
      </c>
      <c r="J607" s="59">
        <f>VLOOKUP(A607,'611'!D:Q,14,FALSE)</f>
        <v>2524937.46</v>
      </c>
      <c r="K607" s="59">
        <f>VLOOKUP(A607,'611'!D:Q,14,FALSE)</f>
        <v>2524937.46</v>
      </c>
      <c r="O607" t="s">
        <v>531</v>
      </c>
      <c r="P607">
        <f>_xlfn.IFNA(VLOOKUP(A607,IndirectCost!B:L,11,FALSE),"")</f>
        <v>3.83</v>
      </c>
      <c r="Q607">
        <f t="shared" si="9"/>
        <v>3.8300000000000001E-2</v>
      </c>
    </row>
    <row r="608" spans="1:17">
      <c r="A608" t="s">
        <v>471</v>
      </c>
      <c r="B608" t="s">
        <v>1278</v>
      </c>
      <c r="C608" t="str">
        <f>VLOOKUP(A608,Districts!A:I,9,FALSE)</f>
        <v>Valentine Elementary School District 22</v>
      </c>
      <c r="D608">
        <f>VLOOKUP(A608,Districts!A:P,16,FALSE)</f>
        <v>0</v>
      </c>
      <c r="E608" t="s">
        <v>528</v>
      </c>
      <c r="F608" s="1">
        <v>45200</v>
      </c>
      <c r="G608" t="s">
        <v>529</v>
      </c>
      <c r="H608" t="s">
        <v>530</v>
      </c>
      <c r="I608" s="59">
        <f>VLOOKUP(A608,'611'!D:F,3,FALSE)</f>
        <v>17146.259999999998</v>
      </c>
      <c r="J608" s="59">
        <f>VLOOKUP(A608,'611'!D:Q,14,FALSE)</f>
        <v>20952.939999999999</v>
      </c>
      <c r="K608" s="59">
        <f>VLOOKUP(A608,'611'!D:Q,14,FALSE)</f>
        <v>20952.939999999999</v>
      </c>
      <c r="O608" t="s">
        <v>531</v>
      </c>
      <c r="P608" t="str">
        <f>_xlfn.IFNA(VLOOKUP(A608,IndirectCost!B:L,11,FALSE),"")</f>
        <v/>
      </c>
      <c r="Q608">
        <f t="shared" si="9"/>
        <v>0</v>
      </c>
    </row>
    <row r="609" spans="1:17">
      <c r="A609" t="s">
        <v>472</v>
      </c>
      <c r="B609" t="s">
        <v>1279</v>
      </c>
      <c r="C609" t="str">
        <f>VLOOKUP(A609,Districts!A:I,9,FALSE)</f>
        <v>Valley of the Sun Waldorf Education Association</v>
      </c>
      <c r="D609" t="str">
        <f>VLOOKUP(A609,Districts!A:P,16,FALSE)</f>
        <v>MCGSMX43BGN3</v>
      </c>
      <c r="E609" t="s">
        <v>528</v>
      </c>
      <c r="F609" s="1">
        <v>45200</v>
      </c>
      <c r="G609" t="s">
        <v>529</v>
      </c>
      <c r="H609" t="s">
        <v>530</v>
      </c>
      <c r="I609" s="59">
        <f>VLOOKUP(A609,'611'!D:F,3,FALSE)</f>
        <v>42676.62</v>
      </c>
      <c r="J609" s="59">
        <f>VLOOKUP(A609,'611'!D:Q,14,FALSE)</f>
        <v>42676.62</v>
      </c>
      <c r="K609" s="59">
        <f>VLOOKUP(A609,'611'!D:Q,14,FALSE)</f>
        <v>42676.62</v>
      </c>
      <c r="O609" t="s">
        <v>531</v>
      </c>
      <c r="P609" t="str">
        <f>_xlfn.IFNA(VLOOKUP(A609,IndirectCost!B:L,11,FALSE),"")</f>
        <v/>
      </c>
      <c r="Q609">
        <f t="shared" si="9"/>
        <v>0</v>
      </c>
    </row>
    <row r="610" spans="1:17">
      <c r="A610" t="s">
        <v>1280</v>
      </c>
      <c r="B610" t="s">
        <v>1281</v>
      </c>
      <c r="C610" t="str">
        <f>VLOOKUP(A610,Districts!A:I,9,FALSE)</f>
        <v>Valley Union High Sch Dist 22</v>
      </c>
      <c r="D610" t="str">
        <f>VLOOKUP(A610,Districts!A:P,16,FALSE)</f>
        <v>DGKNWSMN6TM7</v>
      </c>
      <c r="E610" t="s">
        <v>528</v>
      </c>
      <c r="F610" s="1">
        <v>45200</v>
      </c>
      <c r="G610" t="s">
        <v>529</v>
      </c>
      <c r="H610" t="s">
        <v>530</v>
      </c>
      <c r="I610" s="59">
        <f>VLOOKUP(A610,'611'!D:F,3,FALSE)</f>
        <v>29084.85</v>
      </c>
      <c r="J610" s="59">
        <f>VLOOKUP(A610,'611'!D:Q,14,FALSE)</f>
        <v>29084.85</v>
      </c>
      <c r="K610" s="59">
        <f>VLOOKUP(A610,'611'!D:Q,14,FALSE)</f>
        <v>29084.85</v>
      </c>
      <c r="O610" t="s">
        <v>531</v>
      </c>
      <c r="P610">
        <f>_xlfn.IFNA(VLOOKUP(A610,IndirectCost!B:L,11,FALSE),"")</f>
        <v>0</v>
      </c>
      <c r="Q610">
        <f t="shared" si="9"/>
        <v>0</v>
      </c>
    </row>
    <row r="611" spans="1:17">
      <c r="A611" t="s">
        <v>1282</v>
      </c>
      <c r="B611" t="s">
        <v>1283</v>
      </c>
      <c r="C611" t="str">
        <f>VLOOKUP(A611,Districts!A:I,9,FALSE)</f>
        <v>Valor Preparatory Academy, LLC</v>
      </c>
      <c r="D611" t="str">
        <f>VLOOKUP(A611,Districts!A:P,16,FALSE)</f>
        <v>J6CYF8TJ1RC1</v>
      </c>
      <c r="E611" t="s">
        <v>528</v>
      </c>
      <c r="F611" s="1">
        <v>45200</v>
      </c>
      <c r="G611" t="s">
        <v>529</v>
      </c>
      <c r="H611" t="s">
        <v>530</v>
      </c>
      <c r="I611" s="59">
        <f>VLOOKUP(A611,'611'!D:F,3,FALSE)</f>
        <v>24888.37</v>
      </c>
      <c r="J611" s="59">
        <f>VLOOKUP(A611,'611'!D:Q,14,FALSE)</f>
        <v>24888.37</v>
      </c>
      <c r="K611" s="59">
        <f>VLOOKUP(A611,'611'!D:Q,14,FALSE)</f>
        <v>24888.37</v>
      </c>
      <c r="O611" t="s">
        <v>531</v>
      </c>
      <c r="P611" t="str">
        <f>_xlfn.IFNA(VLOOKUP(A611,IndirectCost!B:L,11,FALSE),"")</f>
        <v/>
      </c>
      <c r="Q611">
        <f t="shared" si="9"/>
        <v>0</v>
      </c>
    </row>
    <row r="612" spans="1:17">
      <c r="A612" t="s">
        <v>473</v>
      </c>
      <c r="B612" t="s">
        <v>1284</v>
      </c>
      <c r="C612" t="str">
        <f>VLOOKUP(A612,Districts!A:I,9,FALSE)</f>
        <v>Vector School District, Inc.</v>
      </c>
      <c r="D612" t="str">
        <f>VLOOKUP(A612,Districts!A:P,16,FALSE)</f>
        <v>TZ4EKL2BLRV4</v>
      </c>
      <c r="E612" t="s">
        <v>528</v>
      </c>
      <c r="F612" s="1">
        <v>45200</v>
      </c>
      <c r="G612" t="s">
        <v>529</v>
      </c>
      <c r="H612" t="s">
        <v>530</v>
      </c>
      <c r="I612" s="59">
        <f>VLOOKUP(A612,'611'!D:F,3,FALSE)</f>
        <v>36990.839999999997</v>
      </c>
      <c r="J612" s="59">
        <f>VLOOKUP(A612,'611'!D:Q,14,FALSE)</f>
        <v>36990.839999999997</v>
      </c>
      <c r="K612" s="59">
        <f>VLOOKUP(A612,'611'!D:Q,14,FALSE)</f>
        <v>36990.839999999997</v>
      </c>
      <c r="O612" t="s">
        <v>531</v>
      </c>
      <c r="P612" t="str">
        <f>_xlfn.IFNA(VLOOKUP(A612,IndirectCost!B:L,11,FALSE),"")</f>
        <v/>
      </c>
      <c r="Q612">
        <f t="shared" si="9"/>
        <v>0</v>
      </c>
    </row>
    <row r="613" spans="1:17">
      <c r="A613" t="s">
        <v>1285</v>
      </c>
      <c r="B613" t="s">
        <v>1286</v>
      </c>
      <c r="C613" t="str">
        <f>VLOOKUP(A613,Districts!A:I,9,FALSE)</f>
        <v>Veritas Preparatory Academy</v>
      </c>
      <c r="D613" t="str">
        <f>VLOOKUP(A613,Districts!A:P,16,FALSE)</f>
        <v>WSD5KV1N1SK1</v>
      </c>
      <c r="E613" t="s">
        <v>528</v>
      </c>
      <c r="F613" s="1">
        <v>45200</v>
      </c>
      <c r="G613" t="s">
        <v>529</v>
      </c>
      <c r="H613" t="s">
        <v>530</v>
      </c>
      <c r="I613" s="59">
        <f>VLOOKUP(A613,'611'!D:F,3,FALSE)</f>
        <v>107553.89</v>
      </c>
      <c r="J613" s="59">
        <f>VLOOKUP(A613,'611'!D:Q,14,FALSE)</f>
        <v>111809.14</v>
      </c>
      <c r="K613" s="59">
        <f>VLOOKUP(A613,'611'!D:Q,14,FALSE)</f>
        <v>111809.14</v>
      </c>
      <c r="O613" t="s">
        <v>531</v>
      </c>
      <c r="P613">
        <f>_xlfn.IFNA(VLOOKUP(A613,IndirectCost!B:L,11,FALSE),"")</f>
        <v>8</v>
      </c>
      <c r="Q613">
        <f t="shared" si="9"/>
        <v>0.08</v>
      </c>
    </row>
    <row r="614" spans="1:17">
      <c r="A614" t="s">
        <v>474</v>
      </c>
      <c r="B614" t="s">
        <v>1287</v>
      </c>
      <c r="C614" t="str">
        <f>VLOOKUP(A614,Districts!A:I,9,FALSE)</f>
        <v>Vernon Elementary School District #9</v>
      </c>
      <c r="D614" t="str">
        <f>VLOOKUP(A614,Districts!A:P,16,FALSE)</f>
        <v>SL8LN17C9YR7</v>
      </c>
      <c r="E614" t="s">
        <v>528</v>
      </c>
      <c r="F614" s="1">
        <v>45200</v>
      </c>
      <c r="G614" t="s">
        <v>529</v>
      </c>
      <c r="H614" t="s">
        <v>530</v>
      </c>
      <c r="I614" s="59">
        <f>VLOOKUP(A614,'611'!D:F,3,FALSE)</f>
        <v>38483.160000000003</v>
      </c>
      <c r="J614" s="59">
        <f>VLOOKUP(A614,'611'!D:Q,14,FALSE)</f>
        <v>49137.2</v>
      </c>
      <c r="K614" s="59">
        <f>VLOOKUP(A614,'611'!D:Q,14,FALSE)</f>
        <v>49137.2</v>
      </c>
      <c r="O614" t="s">
        <v>531</v>
      </c>
      <c r="P614">
        <f>_xlfn.IFNA(VLOOKUP(A614,IndirectCost!B:L,11,FALSE),"")</f>
        <v>8</v>
      </c>
      <c r="Q614">
        <f t="shared" si="9"/>
        <v>0.08</v>
      </c>
    </row>
    <row r="615" spans="1:17">
      <c r="A615" t="s">
        <v>475</v>
      </c>
      <c r="B615" t="s">
        <v>1288</v>
      </c>
      <c r="C615" t="str">
        <f>VLOOKUP(A615,Districts!A:I,9,FALSE)</f>
        <v>Victory Collegiate Academy</v>
      </c>
      <c r="D615" t="str">
        <f>VLOOKUP(A615,Districts!A:P,16,FALSE)</f>
        <v>CXLHM4Y896W9</v>
      </c>
      <c r="E615" t="s">
        <v>528</v>
      </c>
      <c r="F615" s="1">
        <v>45200</v>
      </c>
      <c r="G615" t="s">
        <v>529</v>
      </c>
      <c r="H615" t="s">
        <v>530</v>
      </c>
      <c r="I615" s="59">
        <f>VLOOKUP(A615,'611'!D:F,3,FALSE)</f>
        <v>63519.73</v>
      </c>
      <c r="J615" s="59">
        <f>VLOOKUP(A615,'611'!D:Q,14,FALSE)</f>
        <v>68566.48</v>
      </c>
      <c r="K615" s="59">
        <f>VLOOKUP(A615,'611'!D:Q,14,FALSE)</f>
        <v>68566.48</v>
      </c>
      <c r="O615" t="s">
        <v>531</v>
      </c>
      <c r="P615">
        <f>_xlfn.IFNA(VLOOKUP(A615,IndirectCost!B:L,11,FALSE),"")</f>
        <v>8</v>
      </c>
      <c r="Q615">
        <f t="shared" si="9"/>
        <v>0.08</v>
      </c>
    </row>
    <row r="616" spans="1:17">
      <c r="A616" t="s">
        <v>476</v>
      </c>
      <c r="B616" t="s">
        <v>1289</v>
      </c>
      <c r="C616" t="str">
        <f>VLOOKUP(A616,Districts!A:I,9,FALSE)</f>
        <v>Villa Montessori School</v>
      </c>
      <c r="D616" t="str">
        <f>VLOOKUP(A616,Districts!A:P,16,FALSE)</f>
        <v>JFZFTJHBJ4J3</v>
      </c>
      <c r="E616" t="s">
        <v>528</v>
      </c>
      <c r="F616" s="1">
        <v>45200</v>
      </c>
      <c r="G616" t="s">
        <v>529</v>
      </c>
      <c r="H616" t="s">
        <v>530</v>
      </c>
      <c r="I616" s="59">
        <f>VLOOKUP(A616,'611'!D:F,3,FALSE)</f>
        <v>82311.59</v>
      </c>
      <c r="J616" s="59">
        <f>VLOOKUP(A616,'611'!D:Q,14,FALSE)</f>
        <v>86761.66</v>
      </c>
      <c r="K616" s="59">
        <f>VLOOKUP(A616,'611'!D:Q,14,FALSE)</f>
        <v>86761.66</v>
      </c>
      <c r="O616" t="s">
        <v>531</v>
      </c>
      <c r="P616" t="str">
        <f>_xlfn.IFNA(VLOOKUP(A616,IndirectCost!B:L,11,FALSE),"")</f>
        <v/>
      </c>
      <c r="Q616">
        <f t="shared" si="9"/>
        <v>0</v>
      </c>
    </row>
    <row r="617" spans="1:17">
      <c r="A617" t="s">
        <v>1290</v>
      </c>
      <c r="B617" t="s">
        <v>1291</v>
      </c>
      <c r="C617" t="str">
        <f>VLOOKUP(A617,Districts!A:I,9,FALSE)</f>
        <v>Vista Charter School</v>
      </c>
      <c r="D617" t="str">
        <f>VLOOKUP(A617,Districts!A:P,16,FALSE)</f>
        <v>UQQKBA1CTUM7</v>
      </c>
      <c r="E617" t="s">
        <v>528</v>
      </c>
      <c r="F617" s="1">
        <v>45200</v>
      </c>
      <c r="G617" t="s">
        <v>529</v>
      </c>
      <c r="H617" t="s">
        <v>530</v>
      </c>
      <c r="I617" s="59">
        <f>VLOOKUP(A617,'611'!D:F,3,FALSE)</f>
        <v>746.42</v>
      </c>
      <c r="J617" s="59">
        <f>VLOOKUP(A617,'611'!D:Q,14,FALSE)</f>
        <v>0</v>
      </c>
      <c r="K617" s="59">
        <f>VLOOKUP(A617,'611'!D:Q,14,FALSE)</f>
        <v>0</v>
      </c>
      <c r="O617" t="s">
        <v>531</v>
      </c>
      <c r="P617" t="str">
        <f>_xlfn.IFNA(VLOOKUP(A617,IndirectCost!B:L,11,FALSE),"")</f>
        <v/>
      </c>
      <c r="Q617">
        <f t="shared" si="9"/>
        <v>0</v>
      </c>
    </row>
    <row r="618" spans="1:17">
      <c r="A618" t="s">
        <v>477</v>
      </c>
      <c r="B618" t="s">
        <v>1292</v>
      </c>
      <c r="C618" t="str">
        <f>VLOOKUP(A618,Districts!A:I,9,FALSE)</f>
        <v>Vista College Preparatory</v>
      </c>
      <c r="D618" t="str">
        <f>VLOOKUP(A618,Districts!A:P,16,FALSE)</f>
        <v>J8KMFLNXNDK8</v>
      </c>
      <c r="E618" t="s">
        <v>528</v>
      </c>
      <c r="F618" s="1">
        <v>45200</v>
      </c>
      <c r="G618" t="s">
        <v>529</v>
      </c>
      <c r="H618" t="s">
        <v>530</v>
      </c>
      <c r="I618" s="59">
        <f>VLOOKUP(A618,'611'!D:F,3,FALSE)</f>
        <v>302311.03000000003</v>
      </c>
      <c r="J618" s="59">
        <f>VLOOKUP(A618,'611'!D:Q,14,FALSE)</f>
        <v>302311.03000000003</v>
      </c>
      <c r="K618" s="59">
        <f>VLOOKUP(A618,'611'!D:Q,14,FALSE)</f>
        <v>302311.03000000003</v>
      </c>
      <c r="O618" t="s">
        <v>531</v>
      </c>
      <c r="P618">
        <f>_xlfn.IFNA(VLOOKUP(A618,IndirectCost!B:L,11,FALSE),"")</f>
        <v>8</v>
      </c>
      <c r="Q618">
        <f t="shared" si="9"/>
        <v>0.08</v>
      </c>
    </row>
    <row r="619" spans="1:17">
      <c r="A619" t="s">
        <v>478</v>
      </c>
      <c r="B619" t="s">
        <v>1293</v>
      </c>
      <c r="C619" t="str">
        <f>VLOOKUP(A619,Districts!A:I,9,FALSE)</f>
        <v>Washington Elementary School District #6</v>
      </c>
      <c r="D619" t="str">
        <f>VLOOKUP(A619,Districts!A:P,16,FALSE)</f>
        <v>CJ2VKCAXHF44</v>
      </c>
      <c r="E619" t="s">
        <v>528</v>
      </c>
      <c r="F619" s="1">
        <v>45200</v>
      </c>
      <c r="G619" t="s">
        <v>529</v>
      </c>
      <c r="H619" t="s">
        <v>530</v>
      </c>
      <c r="I619" s="59">
        <f>VLOOKUP(A619,'611'!D:F,3,FALSE)</f>
        <v>5092766.7</v>
      </c>
      <c r="J619" s="59">
        <f>VLOOKUP(A619,'611'!D:Q,14,FALSE)</f>
        <v>5276097.3499999996</v>
      </c>
      <c r="K619" s="59">
        <f>VLOOKUP(A619,'611'!D:Q,14,FALSE)</f>
        <v>5276097.3499999996</v>
      </c>
      <c r="O619" t="s">
        <v>531</v>
      </c>
      <c r="P619">
        <f>_xlfn.IFNA(VLOOKUP(A619,IndirectCost!B:L,11,FALSE),"")</f>
        <v>4.7300000000000004</v>
      </c>
      <c r="Q619">
        <f t="shared" si="9"/>
        <v>4.7300000000000002E-2</v>
      </c>
    </row>
    <row r="620" spans="1:17">
      <c r="A620" t="s">
        <v>479</v>
      </c>
      <c r="B620" t="s">
        <v>1294</v>
      </c>
      <c r="C620" t="str">
        <f>VLOOKUP(A620,Districts!A:I,9,FALSE)</f>
        <v>Wellton Elementary School District</v>
      </c>
      <c r="D620" t="str">
        <f>VLOOKUP(A620,Districts!A:P,16,FALSE)</f>
        <v>M27NVZ7A8KJ6</v>
      </c>
      <c r="E620" t="s">
        <v>528</v>
      </c>
      <c r="F620" s="1">
        <v>45200</v>
      </c>
      <c r="G620" t="s">
        <v>529</v>
      </c>
      <c r="H620" t="s">
        <v>530</v>
      </c>
      <c r="I620" s="59">
        <f>VLOOKUP(A620,'611'!D:F,3,FALSE)</f>
        <v>51610.26</v>
      </c>
      <c r="J620" s="59">
        <f>VLOOKUP(A620,'611'!D:Q,14,FALSE)</f>
        <v>51610.26</v>
      </c>
      <c r="K620" s="59">
        <f>VLOOKUP(A620,'611'!D:Q,14,FALSE)</f>
        <v>51610.26</v>
      </c>
      <c r="O620" t="s">
        <v>531</v>
      </c>
      <c r="P620" t="str">
        <f>_xlfn.IFNA(VLOOKUP(A620,IndirectCost!B:L,11,FALSE),"")</f>
        <v/>
      </c>
      <c r="Q620">
        <f t="shared" si="9"/>
        <v>0</v>
      </c>
    </row>
    <row r="621" spans="1:17">
      <c r="A621" t="s">
        <v>480</v>
      </c>
      <c r="B621" t="s">
        <v>1295</v>
      </c>
      <c r="C621" t="str">
        <f>VLOOKUP(A621,Districts!A:I,9,FALSE)</f>
        <v>WENDEN ELEMENTARY SCHOOL DISTRICT</v>
      </c>
      <c r="D621" t="str">
        <f>VLOOKUP(A621,Districts!A:P,16,FALSE)</f>
        <v>D5JJD893NDK9</v>
      </c>
      <c r="E621" t="s">
        <v>528</v>
      </c>
      <c r="F621" s="1">
        <v>45200</v>
      </c>
      <c r="G621" t="s">
        <v>529</v>
      </c>
      <c r="H621" t="s">
        <v>530</v>
      </c>
      <c r="I621" s="59">
        <f>VLOOKUP(A621,'611'!D:F,3,FALSE)</f>
        <v>28562.240000000002</v>
      </c>
      <c r="J621" s="59">
        <f>VLOOKUP(A621,'611'!D:Q,14,FALSE)</f>
        <v>28562.240000000002</v>
      </c>
      <c r="K621" s="59">
        <f>VLOOKUP(A621,'611'!D:Q,14,FALSE)</f>
        <v>28562.240000000002</v>
      </c>
      <c r="O621" t="s">
        <v>531</v>
      </c>
      <c r="P621" t="str">
        <f>_xlfn.IFNA(VLOOKUP(A621,IndirectCost!B:L,11,FALSE),"")</f>
        <v/>
      </c>
      <c r="Q621">
        <f t="shared" si="9"/>
        <v>0</v>
      </c>
    </row>
    <row r="622" spans="1:17">
      <c r="A622" t="s">
        <v>481</v>
      </c>
      <c r="B622" t="s">
        <v>1296</v>
      </c>
      <c r="C622" t="str">
        <f>VLOOKUP(A622,Districts!A:I,9,FALSE)</f>
        <v>West Gilbert Charter Elementary School, INC</v>
      </c>
      <c r="D622" t="str">
        <f>VLOOKUP(A622,Districts!A:P,16,FALSE)</f>
        <v>X377MKFHM8K3</v>
      </c>
      <c r="E622" t="s">
        <v>528</v>
      </c>
      <c r="F622" s="1">
        <v>45200</v>
      </c>
      <c r="G622" t="s">
        <v>529</v>
      </c>
      <c r="H622" t="s">
        <v>530</v>
      </c>
      <c r="I622" s="59">
        <f>VLOOKUP(A622,'611'!D:F,3,FALSE)</f>
        <v>50410.07</v>
      </c>
      <c r="J622" s="59">
        <f>VLOOKUP(A622,'611'!D:Q,14,FALSE)</f>
        <v>51664.76</v>
      </c>
      <c r="K622" s="59">
        <f>VLOOKUP(A622,'611'!D:Q,14,FALSE)</f>
        <v>51664.76</v>
      </c>
      <c r="O622" t="s">
        <v>531</v>
      </c>
      <c r="P622" t="str">
        <f>_xlfn.IFNA(VLOOKUP(A622,IndirectCost!B:L,11,FALSE),"")</f>
        <v/>
      </c>
      <c r="Q622">
        <f t="shared" si="9"/>
        <v>0</v>
      </c>
    </row>
    <row r="623" spans="1:17">
      <c r="A623" t="s">
        <v>482</v>
      </c>
      <c r="B623" t="s">
        <v>1297</v>
      </c>
      <c r="C623" t="str">
        <f>VLOOKUP(A623,Districts!A:I,9,FALSE)</f>
        <v>West Gilbert Charter Schools</v>
      </c>
      <c r="D623" t="str">
        <f>VLOOKUP(A623,Districts!A:P,16,FALSE)</f>
        <v>K7MSPLMEN8Y5</v>
      </c>
      <c r="E623" t="s">
        <v>528</v>
      </c>
      <c r="F623" s="1">
        <v>45200</v>
      </c>
      <c r="G623" t="s">
        <v>529</v>
      </c>
      <c r="H623" t="s">
        <v>530</v>
      </c>
      <c r="I623" s="59">
        <f>VLOOKUP(A623,'611'!D:F,3,FALSE)</f>
        <v>14332.71</v>
      </c>
      <c r="J623" s="59">
        <f>VLOOKUP(A623,'611'!D:Q,14,FALSE)</f>
        <v>16999.759999999998</v>
      </c>
      <c r="K623" s="59">
        <f>VLOOKUP(A623,'611'!D:Q,14,FALSE)</f>
        <v>16999.759999999998</v>
      </c>
      <c r="O623" t="s">
        <v>531</v>
      </c>
      <c r="P623" t="str">
        <f>_xlfn.IFNA(VLOOKUP(A623,IndirectCost!B:L,11,FALSE),"")</f>
        <v/>
      </c>
      <c r="Q623">
        <f t="shared" si="9"/>
        <v>0</v>
      </c>
    </row>
    <row r="624" spans="1:17">
      <c r="A624" t="s">
        <v>483</v>
      </c>
      <c r="B624" t="s">
        <v>1298</v>
      </c>
      <c r="C624" t="str">
        <f>VLOOKUP(A624,Districts!A:I,9,FALSE)</f>
        <v>West Valley Arts &amp; Technology Academy Inc.</v>
      </c>
      <c r="D624" t="str">
        <f>VLOOKUP(A624,Districts!A:P,16,FALSE)</f>
        <v>J44BKRF1J9W4</v>
      </c>
      <c r="E624" t="s">
        <v>528</v>
      </c>
      <c r="F624" s="1">
        <v>45200</v>
      </c>
      <c r="G624" t="s">
        <v>529</v>
      </c>
      <c r="H624" t="s">
        <v>530</v>
      </c>
      <c r="I624" s="59">
        <f>VLOOKUP(A624,'611'!D:F,3,FALSE)</f>
        <v>43325.17</v>
      </c>
      <c r="J624" s="59">
        <f>VLOOKUP(A624,'611'!D:Q,14,FALSE)</f>
        <v>43325.17</v>
      </c>
      <c r="K624" s="59">
        <f>VLOOKUP(A624,'611'!D:Q,14,FALSE)</f>
        <v>43325.17</v>
      </c>
      <c r="O624" t="s">
        <v>531</v>
      </c>
      <c r="P624">
        <f>_xlfn.IFNA(VLOOKUP(A624,IndirectCost!B:L,11,FALSE),"")</f>
        <v>8</v>
      </c>
      <c r="Q624">
        <f t="shared" si="9"/>
        <v>0.08</v>
      </c>
    </row>
    <row r="625" spans="1:17">
      <c r="A625" t="s">
        <v>1299</v>
      </c>
      <c r="B625" t="s">
        <v>1300</v>
      </c>
      <c r="C625" t="str">
        <f>VLOOKUP(A625,Districts!A:I,9,FALSE)</f>
        <v>Western School of Science and Technology, Inc.</v>
      </c>
      <c r="D625" t="str">
        <f>VLOOKUP(A625,Districts!A:P,16,FALSE)</f>
        <v>FMRPLS5EQ8J3</v>
      </c>
      <c r="E625" t="s">
        <v>528</v>
      </c>
      <c r="F625" s="1">
        <v>45200</v>
      </c>
      <c r="G625" t="s">
        <v>529</v>
      </c>
      <c r="H625" t="s">
        <v>530</v>
      </c>
      <c r="I625" s="59">
        <f>VLOOKUP(A625,'611'!D:F,3,FALSE)</f>
        <v>93616.6</v>
      </c>
      <c r="J625" s="59">
        <f>VLOOKUP(A625,'611'!D:Q,14,FALSE)</f>
        <v>163268.76</v>
      </c>
      <c r="K625" s="59">
        <f>VLOOKUP(A625,'611'!D:Q,14,FALSE)</f>
        <v>163268.76</v>
      </c>
      <c r="O625" t="s">
        <v>531</v>
      </c>
      <c r="P625" t="str">
        <f>_xlfn.IFNA(VLOOKUP(A625,IndirectCost!B:L,11,FALSE),"")</f>
        <v/>
      </c>
      <c r="Q625">
        <f t="shared" si="9"/>
        <v>0</v>
      </c>
    </row>
    <row r="626" spans="1:17">
      <c r="A626" t="s">
        <v>484</v>
      </c>
      <c r="B626" t="s">
        <v>1301</v>
      </c>
      <c r="C626" t="str">
        <f>VLOOKUP(A626,Districts!A:I,9,FALSE)</f>
        <v>WHITERIVER UNIFIED SCHOOL DISTRICT 20</v>
      </c>
      <c r="D626" t="str">
        <f>VLOOKUP(A626,Districts!A:P,16,FALSE)</f>
        <v>JW82B5EJ88A9</v>
      </c>
      <c r="E626" t="s">
        <v>528</v>
      </c>
      <c r="F626" s="1">
        <v>45200</v>
      </c>
      <c r="G626" t="s">
        <v>529</v>
      </c>
      <c r="H626" t="s">
        <v>530</v>
      </c>
      <c r="I626" s="59">
        <f>VLOOKUP(A626,'611'!D:F,3,FALSE)</f>
        <v>592591.39</v>
      </c>
      <c r="J626" s="59">
        <f>VLOOKUP(A626,'611'!D:Q,14,FALSE)</f>
        <v>699244.09</v>
      </c>
      <c r="K626" s="59">
        <f>VLOOKUP(A626,'611'!D:Q,14,FALSE)</f>
        <v>699244.09</v>
      </c>
      <c r="O626" t="s">
        <v>531</v>
      </c>
      <c r="P626">
        <f>_xlfn.IFNA(VLOOKUP(A626,IndirectCost!B:L,11,FALSE),"")</f>
        <v>8</v>
      </c>
      <c r="Q626">
        <f t="shared" si="9"/>
        <v>0.08</v>
      </c>
    </row>
    <row r="627" spans="1:17">
      <c r="A627" t="s">
        <v>485</v>
      </c>
      <c r="B627" t="s">
        <v>1302</v>
      </c>
      <c r="C627" t="str">
        <f>VLOOKUP(A627,Districts!A:I,9,FALSE)</f>
        <v>Wickenburg Unified School District #9</v>
      </c>
      <c r="D627" t="str">
        <f>VLOOKUP(A627,Districts!A:P,16,FALSE)</f>
        <v>L356EU6UC7L4</v>
      </c>
      <c r="E627" t="s">
        <v>528</v>
      </c>
      <c r="F627" s="1">
        <v>45200</v>
      </c>
      <c r="G627" t="s">
        <v>529</v>
      </c>
      <c r="H627" t="s">
        <v>530</v>
      </c>
      <c r="I627" s="59">
        <f>VLOOKUP(A627,'611'!D:F,3,FALSE)</f>
        <v>265174.78999999998</v>
      </c>
      <c r="J627" s="59">
        <f>VLOOKUP(A627,'611'!D:Q,14,FALSE)</f>
        <v>306008.40999999997</v>
      </c>
      <c r="K627" s="59">
        <f>VLOOKUP(A627,'611'!D:Q,14,FALSE)</f>
        <v>306008.40999999997</v>
      </c>
      <c r="O627" t="s">
        <v>531</v>
      </c>
      <c r="P627">
        <f>_xlfn.IFNA(VLOOKUP(A627,IndirectCost!B:L,11,FALSE),"")</f>
        <v>2.35</v>
      </c>
      <c r="Q627">
        <f t="shared" si="9"/>
        <v>2.35E-2</v>
      </c>
    </row>
    <row r="628" spans="1:17">
      <c r="A628" t="s">
        <v>486</v>
      </c>
      <c r="B628" t="s">
        <v>1303</v>
      </c>
      <c r="C628" t="str">
        <f>VLOOKUP(A628,Districts!A:I,9,FALSE)</f>
        <v>Willcox Unified School District #13</v>
      </c>
      <c r="D628" t="str">
        <f>VLOOKUP(A628,Districts!A:P,16,FALSE)</f>
        <v>NFAUJYAM4VW1</v>
      </c>
      <c r="E628" t="s">
        <v>528</v>
      </c>
      <c r="F628" s="1">
        <v>45200</v>
      </c>
      <c r="G628" t="s">
        <v>529</v>
      </c>
      <c r="H628" t="s">
        <v>530</v>
      </c>
      <c r="I628" s="59">
        <f>VLOOKUP(A628,'611'!D:F,3,FALSE)</f>
        <v>245327.59</v>
      </c>
      <c r="J628" s="59">
        <f>VLOOKUP(A628,'611'!D:Q,14,FALSE)</f>
        <v>245327.59</v>
      </c>
      <c r="K628" s="59">
        <f>VLOOKUP(A628,'611'!D:Q,14,FALSE)</f>
        <v>245327.59</v>
      </c>
      <c r="O628" t="s">
        <v>531</v>
      </c>
      <c r="P628">
        <f>_xlfn.IFNA(VLOOKUP(A628,IndirectCost!B:L,11,FALSE),"")</f>
        <v>8</v>
      </c>
      <c r="Q628">
        <f t="shared" si="9"/>
        <v>0.08</v>
      </c>
    </row>
    <row r="629" spans="1:17">
      <c r="A629" t="s">
        <v>487</v>
      </c>
      <c r="B629" t="s">
        <v>1304</v>
      </c>
      <c r="C629" t="str">
        <f>VLOOKUP(A629,Districts!A:I,9,FALSE)</f>
        <v>Williams Unified School District #2</v>
      </c>
      <c r="D629" t="str">
        <f>VLOOKUP(A629,Districts!A:P,16,FALSE)</f>
        <v>FN3LCKMLPYC8</v>
      </c>
      <c r="E629" t="s">
        <v>528</v>
      </c>
      <c r="F629" s="1">
        <v>45200</v>
      </c>
      <c r="G629" t="s">
        <v>529</v>
      </c>
      <c r="H629" t="s">
        <v>530</v>
      </c>
      <c r="I629" s="59">
        <f>VLOOKUP(A629,'611'!D:F,3,FALSE)</f>
        <v>163448.31</v>
      </c>
      <c r="J629" s="59">
        <f>VLOOKUP(A629,'611'!D:Q,14,FALSE)</f>
        <v>212303.05</v>
      </c>
      <c r="K629" s="59">
        <f>VLOOKUP(A629,'611'!D:Q,14,FALSE)</f>
        <v>212303.05</v>
      </c>
      <c r="O629" t="s">
        <v>531</v>
      </c>
      <c r="P629">
        <f>_xlfn.IFNA(VLOOKUP(A629,IndirectCost!B:L,11,FALSE),"")</f>
        <v>8</v>
      </c>
      <c r="Q629">
        <f t="shared" si="9"/>
        <v>0.08</v>
      </c>
    </row>
    <row r="630" spans="1:17">
      <c r="A630" t="s">
        <v>488</v>
      </c>
      <c r="B630" t="s">
        <v>1305</v>
      </c>
      <c r="C630" t="str">
        <f>VLOOKUP(A630,Districts!A:I,9,FALSE)</f>
        <v>Wilson Elementary School District #7</v>
      </c>
      <c r="D630" t="str">
        <f>VLOOKUP(A630,Districts!A:P,16,FALSE)</f>
        <v>LV2FCT5QC3P1</v>
      </c>
      <c r="E630" t="s">
        <v>528</v>
      </c>
      <c r="F630" s="1">
        <v>45200</v>
      </c>
      <c r="G630" t="s">
        <v>529</v>
      </c>
      <c r="H630" t="s">
        <v>530</v>
      </c>
      <c r="I630" s="59">
        <f>VLOOKUP(A630,'611'!D:F,3,FALSE)</f>
        <v>256787.26</v>
      </c>
      <c r="J630" s="59">
        <f>VLOOKUP(A630,'611'!D:Q,14,FALSE)</f>
        <v>256787.26</v>
      </c>
      <c r="K630" s="59">
        <f>VLOOKUP(A630,'611'!D:Q,14,FALSE)</f>
        <v>256787.26</v>
      </c>
      <c r="O630" t="s">
        <v>531</v>
      </c>
      <c r="P630">
        <f>_xlfn.IFNA(VLOOKUP(A630,IndirectCost!B:L,11,FALSE),"")</f>
        <v>2.88</v>
      </c>
      <c r="Q630">
        <f t="shared" si="9"/>
        <v>2.8799999999999999E-2</v>
      </c>
    </row>
    <row r="631" spans="1:17">
      <c r="A631" t="s">
        <v>489</v>
      </c>
      <c r="B631" t="s">
        <v>1306</v>
      </c>
      <c r="C631" t="str">
        <f>VLOOKUP(A631,Districts!A:I,9,FALSE)</f>
        <v>Window Rock Unified School District 8</v>
      </c>
      <c r="D631" t="str">
        <f>VLOOKUP(A631,Districts!A:P,16,FALSE)</f>
        <v>Z84FS6DPMSN3</v>
      </c>
      <c r="E631" t="s">
        <v>528</v>
      </c>
      <c r="F631" s="1">
        <v>45200</v>
      </c>
      <c r="G631" t="s">
        <v>529</v>
      </c>
      <c r="H631" t="s">
        <v>530</v>
      </c>
      <c r="I631" s="59">
        <f>VLOOKUP(A631,'611'!D:F,3,FALSE)</f>
        <v>482689.17</v>
      </c>
      <c r="J631" s="59">
        <f>VLOOKUP(A631,'611'!D:Q,14,FALSE)</f>
        <v>577012.86</v>
      </c>
      <c r="K631" s="59">
        <f>VLOOKUP(A631,'611'!D:Q,14,FALSE)</f>
        <v>577012.86</v>
      </c>
      <c r="O631" t="s">
        <v>531</v>
      </c>
      <c r="P631" t="str">
        <f>_xlfn.IFNA(VLOOKUP(A631,IndirectCost!B:L,11,FALSE),"")</f>
        <v/>
      </c>
      <c r="Q631">
        <f t="shared" si="9"/>
        <v>0</v>
      </c>
    </row>
    <row r="632" spans="1:17">
      <c r="A632" t="s">
        <v>490</v>
      </c>
      <c r="B632" t="s">
        <v>1307</v>
      </c>
      <c r="C632" t="str">
        <f>VLOOKUP(A632,Districts!A:I,9,FALSE)</f>
        <v>Winslow Unified School District 1</v>
      </c>
      <c r="D632" t="str">
        <f>VLOOKUP(A632,Districts!A:P,16,FALSE)</f>
        <v>ZETHU5AAKUT4</v>
      </c>
      <c r="E632" t="s">
        <v>528</v>
      </c>
      <c r="F632" s="1">
        <v>45200</v>
      </c>
      <c r="G632" t="s">
        <v>529</v>
      </c>
      <c r="H632" t="s">
        <v>530</v>
      </c>
      <c r="I632" s="59">
        <f>VLOOKUP(A632,'611'!D:F,3,FALSE)</f>
        <v>493188.27</v>
      </c>
      <c r="J632" s="59">
        <f>VLOOKUP(A632,'611'!D:Q,14,FALSE)</f>
        <v>573550.48</v>
      </c>
      <c r="K632" s="59">
        <f>VLOOKUP(A632,'611'!D:Q,14,FALSE)</f>
        <v>573550.48</v>
      </c>
      <c r="O632" t="s">
        <v>531</v>
      </c>
      <c r="P632">
        <f>_xlfn.IFNA(VLOOKUP(A632,IndirectCost!B:L,11,FALSE),"")</f>
        <v>4.6500000000000004</v>
      </c>
      <c r="Q632">
        <f t="shared" si="9"/>
        <v>4.6500000000000007E-2</v>
      </c>
    </row>
    <row r="633" spans="1:17">
      <c r="A633" t="s">
        <v>491</v>
      </c>
      <c r="B633" t="s">
        <v>1308</v>
      </c>
      <c r="C633" t="str">
        <f>VLOOKUP(A633,Districts!A:I,9,FALSE)</f>
        <v>Yarnell Elementary School District #52</v>
      </c>
      <c r="D633" t="str">
        <f>VLOOKUP(A633,Districts!A:P,16,FALSE)</f>
        <v>KJP7AXT7YKC8</v>
      </c>
      <c r="E633" t="s">
        <v>528</v>
      </c>
      <c r="F633" s="1">
        <v>45200</v>
      </c>
      <c r="G633" t="s">
        <v>529</v>
      </c>
      <c r="H633" t="s">
        <v>530</v>
      </c>
      <c r="I633" s="59">
        <f>VLOOKUP(A633,'611'!D:F,3,FALSE)</f>
        <v>9115.73</v>
      </c>
      <c r="J633" s="59">
        <f>VLOOKUP(A633,'611'!D:Q,14,FALSE)</f>
        <v>11981.61</v>
      </c>
      <c r="K633" s="59">
        <f>VLOOKUP(A633,'611'!D:Q,14,FALSE)</f>
        <v>11981.61</v>
      </c>
      <c r="O633" t="s">
        <v>531</v>
      </c>
      <c r="P633" t="str">
        <f>_xlfn.IFNA(VLOOKUP(A633,IndirectCost!B:L,11,FALSE),"")</f>
        <v/>
      </c>
      <c r="Q633">
        <f t="shared" si="9"/>
        <v>0</v>
      </c>
    </row>
    <row r="634" spans="1:17">
      <c r="A634" t="s">
        <v>1309</v>
      </c>
      <c r="B634" t="s">
        <v>1310</v>
      </c>
      <c r="C634" t="str">
        <f>VLOOKUP(A634,Districts!A:I,9,FALSE)</f>
        <v>YAVAPAI ACCOMMODATION SCHOOL DISTRICT</v>
      </c>
      <c r="D634" t="str">
        <f>VLOOKUP(A634,Districts!A:P,16,FALSE)</f>
        <v>KKJJHJJZJ375</v>
      </c>
      <c r="E634" t="s">
        <v>528</v>
      </c>
      <c r="F634" s="1">
        <v>45200</v>
      </c>
      <c r="G634" t="s">
        <v>529</v>
      </c>
      <c r="H634" t="s">
        <v>530</v>
      </c>
      <c r="I634" s="59">
        <f>VLOOKUP(A634,'611'!D:F,3,FALSE)</f>
        <v>11031.98</v>
      </c>
      <c r="J634" s="59">
        <f>VLOOKUP(A634,'611'!D:Q,14,FALSE)</f>
        <v>11031.98</v>
      </c>
      <c r="K634" s="59">
        <f>VLOOKUP(A634,'611'!D:Q,14,FALSE)</f>
        <v>11031.98</v>
      </c>
      <c r="O634" t="s">
        <v>531</v>
      </c>
      <c r="P634" t="str">
        <f>_xlfn.IFNA(VLOOKUP(A634,IndirectCost!B:L,11,FALSE),"")</f>
        <v/>
      </c>
      <c r="Q634">
        <f t="shared" si="9"/>
        <v>0</v>
      </c>
    </row>
    <row r="635" spans="1:17">
      <c r="A635" t="s">
        <v>1311</v>
      </c>
      <c r="B635" t="s">
        <v>1312</v>
      </c>
      <c r="C635" t="str">
        <f>VLOOKUP(A635,Districts!A:I,9,FALSE)</f>
        <v>YAVAPAI, COUNTY OF</v>
      </c>
      <c r="D635" t="str">
        <f>VLOOKUP(A635,Districts!A:P,16,FALSE)</f>
        <v>H1RCC7MAXBL6</v>
      </c>
      <c r="E635" t="s">
        <v>528</v>
      </c>
      <c r="F635" s="1">
        <v>45200</v>
      </c>
      <c r="G635" t="s">
        <v>529</v>
      </c>
      <c r="H635" t="s">
        <v>530</v>
      </c>
      <c r="I635" s="59">
        <f>VLOOKUP(A635,'611'!D:F,3,FALSE)</f>
        <v>9271.27</v>
      </c>
      <c r="J635" s="59">
        <f>VLOOKUP(A635,'611'!D:Q,14,FALSE)</f>
        <v>9271.27</v>
      </c>
      <c r="K635" s="59">
        <f>VLOOKUP(A635,'611'!D:Q,14,FALSE)</f>
        <v>9271.27</v>
      </c>
      <c r="O635" t="s">
        <v>531</v>
      </c>
      <c r="P635" t="str">
        <f>_xlfn.IFNA(VLOOKUP(A635,IndirectCost!B:L,11,FALSE),"")</f>
        <v/>
      </c>
      <c r="Q635">
        <f t="shared" si="9"/>
        <v>0</v>
      </c>
    </row>
    <row r="636" spans="1:17">
      <c r="A636" t="s">
        <v>1313</v>
      </c>
      <c r="B636" t="s">
        <v>1314</v>
      </c>
      <c r="C636">
        <f>VLOOKUP(A636,Districts!A:I,9,FALSE)</f>
        <v>0</v>
      </c>
      <c r="D636">
        <f>VLOOKUP(A636,Districts!A:P,16,FALSE)</f>
        <v>0</v>
      </c>
      <c r="E636" t="s">
        <v>528</v>
      </c>
      <c r="F636" s="1">
        <v>45200</v>
      </c>
      <c r="G636" t="s">
        <v>529</v>
      </c>
      <c r="H636" t="s">
        <v>530</v>
      </c>
      <c r="I636" s="59">
        <f>VLOOKUP(A636,'611'!D:F,3,FALSE)</f>
        <v>1389.01</v>
      </c>
      <c r="J636" s="59">
        <f>VLOOKUP(A636,'611'!D:Q,14,FALSE)</f>
        <v>1389.01</v>
      </c>
      <c r="K636" s="59">
        <f>VLOOKUP(A636,'611'!D:Q,14,FALSE)</f>
        <v>1389.01</v>
      </c>
      <c r="O636" t="s">
        <v>531</v>
      </c>
      <c r="P636" t="str">
        <f>_xlfn.IFNA(VLOOKUP(A636,IndirectCost!B:L,11,FALSE),"")</f>
        <v/>
      </c>
      <c r="Q636">
        <f t="shared" si="9"/>
        <v>0</v>
      </c>
    </row>
    <row r="637" spans="1:17">
      <c r="A637" t="s">
        <v>492</v>
      </c>
      <c r="B637" t="s">
        <v>1315</v>
      </c>
      <c r="C637" t="str">
        <f>VLOOKUP(A637,Districts!A:I,9,FALSE)</f>
        <v>Young PUBLIC SCHOOL</v>
      </c>
      <c r="D637" t="str">
        <f>VLOOKUP(A637,Districts!A:P,16,FALSE)</f>
        <v>RL6XN7PRHXJ4</v>
      </c>
      <c r="E637" t="s">
        <v>528</v>
      </c>
      <c r="F637" s="1">
        <v>45200</v>
      </c>
      <c r="G637" t="s">
        <v>529</v>
      </c>
      <c r="H637" t="s">
        <v>530</v>
      </c>
      <c r="I637" s="59">
        <f>VLOOKUP(A637,'611'!D:F,3,FALSE)</f>
        <v>15385.89</v>
      </c>
      <c r="J637" s="59">
        <f>VLOOKUP(A637,'611'!D:Q,14,FALSE)</f>
        <v>15385.89</v>
      </c>
      <c r="K637" s="59">
        <f>VLOOKUP(A637,'611'!D:Q,14,FALSE)</f>
        <v>15385.89</v>
      </c>
      <c r="O637" t="s">
        <v>531</v>
      </c>
      <c r="P637" t="str">
        <f>_xlfn.IFNA(VLOOKUP(A637,IndirectCost!B:L,11,FALSE),"")</f>
        <v/>
      </c>
      <c r="Q637">
        <f t="shared" si="9"/>
        <v>0</v>
      </c>
    </row>
    <row r="638" spans="1:17">
      <c r="A638" t="s">
        <v>493</v>
      </c>
      <c r="B638" t="s">
        <v>1316</v>
      </c>
      <c r="C638" t="str">
        <f>VLOOKUP(A638,Districts!A:I,9,FALSE)</f>
        <v>Young Scholar's Academy Charter School Corp</v>
      </c>
      <c r="D638" t="str">
        <f>VLOOKUP(A638,Districts!A:P,16,FALSE)</f>
        <v>ZHK9JJ53MWH3</v>
      </c>
      <c r="E638" t="s">
        <v>528</v>
      </c>
      <c r="F638" s="1">
        <v>45200</v>
      </c>
      <c r="G638" t="s">
        <v>529</v>
      </c>
      <c r="H638" t="s">
        <v>530</v>
      </c>
      <c r="I638" s="59">
        <f>VLOOKUP(A638,'611'!D:F,3,FALSE)</f>
        <v>80026.649999999994</v>
      </c>
      <c r="J638" s="59">
        <f>VLOOKUP(A638,'611'!D:Q,14,FALSE)</f>
        <v>80026.649999999994</v>
      </c>
      <c r="K638" s="59">
        <f>VLOOKUP(A638,'611'!D:Q,14,FALSE)</f>
        <v>80026.649999999994</v>
      </c>
      <c r="O638" t="s">
        <v>531</v>
      </c>
      <c r="P638">
        <f>_xlfn.IFNA(VLOOKUP(A638,IndirectCost!B:L,11,FALSE),"")</f>
        <v>0</v>
      </c>
      <c r="Q638">
        <f t="shared" si="9"/>
        <v>0</v>
      </c>
    </row>
    <row r="639" spans="1:17">
      <c r="A639" t="s">
        <v>494</v>
      </c>
      <c r="B639" t="s">
        <v>1317</v>
      </c>
      <c r="C639" t="str">
        <f>VLOOKUP(A639,Districts!A:I,9,FALSE)</f>
        <v>Yucca Elementary School District 13</v>
      </c>
      <c r="D639" t="str">
        <f>VLOOKUP(A639,Districts!A:P,16,FALSE)</f>
        <v>ZQZWN3K2NDQ1</v>
      </c>
      <c r="E639" t="s">
        <v>528</v>
      </c>
      <c r="F639" s="1">
        <v>45200</v>
      </c>
      <c r="G639" t="s">
        <v>529</v>
      </c>
      <c r="H639" t="s">
        <v>530</v>
      </c>
      <c r="I639" s="59">
        <f>VLOOKUP(A639,'611'!D:F,3,FALSE)</f>
        <v>10972.18</v>
      </c>
      <c r="J639" s="59">
        <f>VLOOKUP(A639,'611'!D:Q,14,FALSE)</f>
        <v>10972.18</v>
      </c>
      <c r="K639" s="59">
        <f>VLOOKUP(A639,'611'!D:Q,14,FALSE)</f>
        <v>10972.18</v>
      </c>
      <c r="O639" t="s">
        <v>531</v>
      </c>
      <c r="P639" t="str">
        <f>_xlfn.IFNA(VLOOKUP(A639,IndirectCost!B:L,11,FALSE),"")</f>
        <v/>
      </c>
      <c r="Q639">
        <f t="shared" si="9"/>
        <v>0</v>
      </c>
    </row>
    <row r="640" spans="1:17">
      <c r="A640" t="s">
        <v>1318</v>
      </c>
      <c r="B640" t="s">
        <v>1319</v>
      </c>
      <c r="C640" t="str">
        <f>VLOOKUP(A640,Districts!A:I,9,FALSE)</f>
        <v>Yuma, County Of</v>
      </c>
      <c r="D640" t="str">
        <f>VLOOKUP(A640,Districts!A:P,16,FALSE)</f>
        <v>ELEWY4GC2FL9</v>
      </c>
      <c r="E640" t="s">
        <v>528</v>
      </c>
      <c r="F640" s="1">
        <v>45200</v>
      </c>
      <c r="G640" t="s">
        <v>529</v>
      </c>
      <c r="H640" t="s">
        <v>530</v>
      </c>
      <c r="I640" s="59">
        <f>VLOOKUP(A640,'611'!D:F,3,FALSE)</f>
        <v>5676.41</v>
      </c>
      <c r="J640" s="59">
        <f>VLOOKUP(A640,'611'!D:Q,14,FALSE)</f>
        <v>5676.41</v>
      </c>
      <c r="K640" s="59">
        <f>VLOOKUP(A640,'611'!D:Q,14,FALSE)</f>
        <v>5676.41</v>
      </c>
      <c r="O640" t="s">
        <v>531</v>
      </c>
      <c r="P640" t="str">
        <f>_xlfn.IFNA(VLOOKUP(A640,IndirectCost!B:L,11,FALSE),"")</f>
        <v/>
      </c>
      <c r="Q640">
        <f t="shared" si="9"/>
        <v>0</v>
      </c>
    </row>
    <row r="641" spans="1:17">
      <c r="A641" t="s">
        <v>1320</v>
      </c>
      <c r="B641" t="s">
        <v>1321</v>
      </c>
      <c r="C641" t="str">
        <f>VLOOKUP(A641,Districts!A:I,9,FALSE)</f>
        <v>YUMA COUNTY Of</v>
      </c>
      <c r="D641" t="str">
        <f>VLOOKUP(A641,Districts!A:P,16,FALSE)</f>
        <v>ELEWY4GC2FL9</v>
      </c>
      <c r="E641" t="s">
        <v>528</v>
      </c>
      <c r="F641" s="1">
        <v>45200</v>
      </c>
      <c r="G641" t="s">
        <v>529</v>
      </c>
      <c r="H641" t="s">
        <v>530</v>
      </c>
      <c r="I641" s="59">
        <f>VLOOKUP(A641,'611'!D:F,3,FALSE)</f>
        <v>4959.03</v>
      </c>
      <c r="J641" s="59">
        <f>VLOOKUP(A641,'611'!D:Q,14,FALSE)</f>
        <v>0</v>
      </c>
      <c r="K641" s="59">
        <f>VLOOKUP(A641,'611'!D:Q,14,FALSE)</f>
        <v>0</v>
      </c>
      <c r="O641" t="s">
        <v>531</v>
      </c>
      <c r="P641" t="str">
        <f>_xlfn.IFNA(VLOOKUP(A641,IndirectCost!B:L,11,FALSE),"")</f>
        <v/>
      </c>
      <c r="Q641">
        <f t="shared" si="9"/>
        <v>0</v>
      </c>
    </row>
    <row r="642" spans="1:17">
      <c r="A642" t="s">
        <v>495</v>
      </c>
      <c r="B642" t="s">
        <v>1322</v>
      </c>
      <c r="C642" t="str">
        <f>VLOOKUP(A642,Districts!A:I,9,FALSE)</f>
        <v>Yuma School District Number One</v>
      </c>
      <c r="D642" t="str">
        <f>VLOOKUP(A642,Districts!A:P,16,FALSE)</f>
        <v>R6JAK3Y172T7</v>
      </c>
      <c r="E642" t="s">
        <v>528</v>
      </c>
      <c r="F642" s="1">
        <v>45200</v>
      </c>
      <c r="G642" t="s">
        <v>529</v>
      </c>
      <c r="H642" t="s">
        <v>530</v>
      </c>
      <c r="I642" s="59">
        <f>VLOOKUP(A642,'611'!D:F,3,FALSE)</f>
        <v>2099665.7400000002</v>
      </c>
      <c r="J642" s="59">
        <f>VLOOKUP(A642,'611'!D:Q,14,FALSE)</f>
        <v>2360401.09</v>
      </c>
      <c r="K642" s="59">
        <f>VLOOKUP(A642,'611'!D:Q,14,FALSE)</f>
        <v>2360401.09</v>
      </c>
      <c r="O642" t="s">
        <v>531</v>
      </c>
      <c r="P642">
        <f>_xlfn.IFNA(VLOOKUP(A642,IndirectCost!B:L,11,FALSE),"")</f>
        <v>3.31</v>
      </c>
      <c r="Q642">
        <f t="shared" si="9"/>
        <v>3.3099999999999997E-2</v>
      </c>
    </row>
    <row r="643" spans="1:17">
      <c r="A643" t="s">
        <v>1323</v>
      </c>
      <c r="B643" t="s">
        <v>1324</v>
      </c>
      <c r="C643" t="str">
        <f>VLOOKUP(A643,Districts!A:I,9,FALSE)</f>
        <v>Yuma Private Industry Council, Inc.</v>
      </c>
      <c r="D643" t="str">
        <f>VLOOKUP(A643,Districts!A:P,16,FALSE)</f>
        <v>NZJ4LA9RZ8S5</v>
      </c>
      <c r="E643" t="s">
        <v>528</v>
      </c>
      <c r="F643" s="1">
        <v>45200</v>
      </c>
      <c r="G643" t="s">
        <v>529</v>
      </c>
      <c r="H643" t="s">
        <v>530</v>
      </c>
      <c r="I643" s="59">
        <f>VLOOKUP(A643,'611'!D:F,3,FALSE)</f>
        <v>25367.84</v>
      </c>
      <c r="J643" s="59">
        <f>VLOOKUP(A643,'611'!D:Q,14,FALSE)</f>
        <v>40792.300000000003</v>
      </c>
      <c r="K643" s="59">
        <f>VLOOKUP(A643,'611'!D:Q,14,FALSE)</f>
        <v>40792.300000000003</v>
      </c>
      <c r="O643" t="s">
        <v>531</v>
      </c>
      <c r="P643" t="str">
        <f>_xlfn.IFNA(VLOOKUP(A643,IndirectCost!B:L,11,FALSE),"")</f>
        <v/>
      </c>
      <c r="Q643">
        <f t="shared" si="9"/>
        <v>0</v>
      </c>
    </row>
    <row r="644" spans="1:17">
      <c r="A644" t="s">
        <v>1325</v>
      </c>
      <c r="B644" t="s">
        <v>1326</v>
      </c>
      <c r="C644" t="str">
        <f>VLOOKUP(A644,Districts!A:I,9,FALSE)</f>
        <v>YUMA UNION HIGH SCHOOL DISTRICT</v>
      </c>
      <c r="D644" t="str">
        <f>VLOOKUP(A644,Districts!A:P,16,FALSE)</f>
        <v>YLQGGQHP9G37</v>
      </c>
      <c r="E644" t="s">
        <v>528</v>
      </c>
      <c r="F644" s="1">
        <v>45200</v>
      </c>
      <c r="G644" t="s">
        <v>529</v>
      </c>
      <c r="H644" t="s">
        <v>530</v>
      </c>
      <c r="I644" s="59">
        <f>VLOOKUP(A644,'611'!D:F,3,FALSE)</f>
        <v>2334386.9900000002</v>
      </c>
      <c r="J644" s="59">
        <f>VLOOKUP(A644,'611'!D:Q,14,FALSE)</f>
        <v>2652650.1800000002</v>
      </c>
      <c r="K644" s="59">
        <f>VLOOKUP(A644,'611'!D:Q,14,FALSE)</f>
        <v>2652650.1800000002</v>
      </c>
      <c r="O644" t="s">
        <v>531</v>
      </c>
      <c r="P644">
        <f>_xlfn.IFNA(VLOOKUP(A644,IndirectCost!B:L,11,FALSE),"")</f>
        <v>8</v>
      </c>
      <c r="Q644">
        <f t="shared" ref="Q644" si="10">IFERROR(P644/100,0)</f>
        <v>0.08</v>
      </c>
    </row>
  </sheetData>
  <sheetProtection algorithmName="SHA-512" hashValue="oxXEUdP7Vvm9oSceR/pp+pjYL+ONGfvaP/F+6k2n95u0UQZBrcbcZpEe4eF9D24qXrwjprIWI3/e+sUqAa6BsQ==" saltValue="+k3Pp8ZgAtSoB6oMCdAz/Q==" spinCount="100000" sheet="1" objects="1" scenarios="1"/>
  <autoFilter ref="A2:P2" xr:uid="{00000000-0009-0000-0000-000000000000}"/>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B32E-861B-4E4E-9EBB-11B22F5CBC7A}">
  <dimension ref="A1:Q644"/>
  <sheetViews>
    <sheetView workbookViewId="0">
      <pane xSplit="2" ySplit="2" topLeftCell="F3" activePane="bottomRight" state="frozen"/>
      <selection pane="bottomRight" activeCell="N3" sqref="N2:N3"/>
      <selection pane="bottomLeft" activeCell="A3" sqref="A3"/>
      <selection pane="topRight" activeCell="C1" sqref="C1"/>
    </sheetView>
  </sheetViews>
  <sheetFormatPr defaultRowHeight="14.45"/>
  <cols>
    <col min="1" max="1" width="10" bestFit="1" customWidth="1"/>
    <col min="2" max="2" width="71.7109375" bestFit="1" customWidth="1"/>
    <col min="3" max="3" width="83.85546875" bestFit="1" customWidth="1"/>
    <col min="4" max="4" width="17.28515625" bestFit="1" customWidth="1"/>
    <col min="5" max="5" width="12.28515625" bestFit="1" customWidth="1"/>
    <col min="6" max="6" width="9.7109375" bestFit="1" customWidth="1"/>
    <col min="7" max="8" width="21" bestFit="1" customWidth="1"/>
    <col min="9" max="9" width="16.5703125" style="59" bestFit="1" customWidth="1"/>
    <col min="10" max="11" width="16.7109375" style="59" bestFit="1" customWidth="1"/>
    <col min="12" max="13" width="11.140625" bestFit="1" customWidth="1"/>
    <col min="14" max="14" width="11.5703125" bestFit="1" customWidth="1"/>
    <col min="15" max="15" width="11.140625" bestFit="1" customWidth="1"/>
    <col min="16" max="16" width="10.85546875" bestFit="1" customWidth="1"/>
    <col min="17" max="17" width="7" bestFit="1" customWidth="1"/>
  </cols>
  <sheetData>
    <row r="1" spans="1:17">
      <c r="C1" t="s">
        <v>496</v>
      </c>
      <c r="D1" t="s">
        <v>497</v>
      </c>
      <c r="E1" t="s">
        <v>498</v>
      </c>
      <c r="F1" t="s">
        <v>499</v>
      </c>
      <c r="G1" t="s">
        <v>500</v>
      </c>
      <c r="H1" t="s">
        <v>501</v>
      </c>
      <c r="I1" s="59" t="s">
        <v>502</v>
      </c>
      <c r="J1" s="59" t="s">
        <v>503</v>
      </c>
      <c r="K1" s="59" t="s">
        <v>504</v>
      </c>
      <c r="L1" t="s">
        <v>505</v>
      </c>
      <c r="M1" t="s">
        <v>506</v>
      </c>
      <c r="N1" t="s">
        <v>507</v>
      </c>
      <c r="O1" t="s">
        <v>508</v>
      </c>
      <c r="P1" t="s">
        <v>509</v>
      </c>
    </row>
    <row r="2" spans="1:17">
      <c r="A2" t="s">
        <v>510</v>
      </c>
      <c r="B2" t="s">
        <v>511</v>
      </c>
      <c r="C2" t="s">
        <v>512</v>
      </c>
      <c r="D2" t="s">
        <v>513</v>
      </c>
      <c r="E2" t="s">
        <v>514</v>
      </c>
      <c r="F2" t="s">
        <v>515</v>
      </c>
      <c r="G2" t="s">
        <v>516</v>
      </c>
      <c r="H2" t="s">
        <v>517</v>
      </c>
      <c r="I2" s="59" t="s">
        <v>518</v>
      </c>
      <c r="J2" s="59" t="s">
        <v>519</v>
      </c>
      <c r="K2" s="59" t="s">
        <v>520</v>
      </c>
      <c r="L2" t="s">
        <v>521</v>
      </c>
      <c r="M2" t="s">
        <v>522</v>
      </c>
      <c r="N2" t="s">
        <v>523</v>
      </c>
      <c r="O2" t="s">
        <v>524</v>
      </c>
      <c r="P2" t="s">
        <v>525</v>
      </c>
    </row>
    <row r="3" spans="1:17">
      <c r="A3" t="s">
        <v>526</v>
      </c>
      <c r="B3" t="s">
        <v>527</v>
      </c>
      <c r="C3" t="str">
        <f>VLOOKUP(A3,Districts!A:I,9,FALSE)</f>
        <v>A+ Charter Schools</v>
      </c>
      <c r="D3" t="str">
        <f>VLOOKUP(A3,Districts!A:P,16,FALSE)</f>
        <v>JCEKF2JBLAV6</v>
      </c>
      <c r="E3" t="s">
        <v>528</v>
      </c>
      <c r="F3" s="1">
        <v>45200</v>
      </c>
      <c r="G3" t="s">
        <v>529</v>
      </c>
      <c r="H3" t="s">
        <v>530</v>
      </c>
      <c r="I3" s="59">
        <f>_xlfn.IFNA(VLOOKUP(A3,'619'!D:F,3,FALSE),0)</f>
        <v>0</v>
      </c>
      <c r="J3" s="59">
        <f>_xlfn.IFNA(VLOOKUP(A3,'619'!D:Q,14,FALSE),0)</f>
        <v>0</v>
      </c>
      <c r="K3" s="59">
        <f>_xlfn.IFNA(VLOOKUP(A3,'619'!D:Q,14,FALSE),0)</f>
        <v>0</v>
      </c>
      <c r="O3" t="s">
        <v>531</v>
      </c>
      <c r="P3">
        <f>_xlfn.IFNA(VLOOKUP(A3,IndirectCost!B:L,11,FALSE),"")</f>
        <v>0</v>
      </c>
      <c r="Q3">
        <f>IFERROR(P3/100,0)</f>
        <v>0</v>
      </c>
    </row>
    <row r="4" spans="1:17">
      <c r="A4" t="s">
        <v>49</v>
      </c>
      <c r="B4" t="s">
        <v>532</v>
      </c>
      <c r="C4" t="str">
        <f>VLOOKUP(A4,Districts!A:I,9,FALSE)</f>
        <v>Academy Del Sol</v>
      </c>
      <c r="D4" t="str">
        <f>VLOOKUP(A4,Districts!A:P,16,FALSE)</f>
        <v>QZLJBKBC2J66</v>
      </c>
      <c r="F4" s="1">
        <v>45200</v>
      </c>
      <c r="G4" t="s">
        <v>529</v>
      </c>
      <c r="H4" t="s">
        <v>530</v>
      </c>
      <c r="I4" s="59">
        <f>_xlfn.IFNA(VLOOKUP(A4,'619'!D:F,3,FALSE),0)</f>
        <v>887.31</v>
      </c>
      <c r="J4" s="59">
        <f>_xlfn.IFNA(VLOOKUP(A4,'619'!D:Q,14,FALSE),0)</f>
        <v>887.31</v>
      </c>
      <c r="K4" s="59">
        <f>_xlfn.IFNA(VLOOKUP(A4,'619'!D:Q,14,FALSE),0)</f>
        <v>887.31</v>
      </c>
      <c r="O4" t="s">
        <v>531</v>
      </c>
      <c r="P4" t="str">
        <f>_xlfn.IFNA(VLOOKUP(A4,IndirectCost!B:L,11,FALSE),"")</f>
        <v/>
      </c>
      <c r="Q4">
        <f t="shared" ref="Q4:Q67" si="0">IFERROR(P4/100,0)</f>
        <v>0</v>
      </c>
    </row>
    <row r="5" spans="1:17">
      <c r="A5" t="s">
        <v>533</v>
      </c>
      <c r="B5" t="s">
        <v>534</v>
      </c>
      <c r="C5" t="str">
        <f>VLOOKUP(A5,Districts!A:I,9,FALSE)</f>
        <v>Academy of Building Industries</v>
      </c>
      <c r="D5" t="str">
        <f>VLOOKUP(A5,Districts!A:P,16,FALSE)</f>
        <v>K13KLGNX74T6</v>
      </c>
      <c r="F5" s="1">
        <v>45200</v>
      </c>
      <c r="G5" t="s">
        <v>529</v>
      </c>
      <c r="H5" t="s">
        <v>530</v>
      </c>
      <c r="I5" s="59">
        <f>_xlfn.IFNA(VLOOKUP(A5,'619'!D:F,3,FALSE),0)</f>
        <v>0</v>
      </c>
      <c r="J5" s="59">
        <f>_xlfn.IFNA(VLOOKUP(A5,'619'!D:Q,14,FALSE),0)</f>
        <v>0</v>
      </c>
      <c r="K5" s="59">
        <f>_xlfn.IFNA(VLOOKUP(A5,'619'!D:Q,14,FALSE),0)</f>
        <v>0</v>
      </c>
      <c r="O5" t="s">
        <v>531</v>
      </c>
      <c r="P5" t="str">
        <f>_xlfn.IFNA(VLOOKUP(A5,IndirectCost!B:L,11,FALSE),"")</f>
        <v/>
      </c>
      <c r="Q5">
        <f t="shared" si="0"/>
        <v>0</v>
      </c>
    </row>
    <row r="6" spans="1:17">
      <c r="A6" t="s">
        <v>50</v>
      </c>
      <c r="B6" t="s">
        <v>535</v>
      </c>
      <c r="C6" t="str">
        <f>VLOOKUP(A6,Districts!A:I,9,FALSE)</f>
        <v>Academy of Mathematics and Science South, Inc</v>
      </c>
      <c r="D6" t="str">
        <f>VLOOKUP(A6,Districts!A:P,16,FALSE)</f>
        <v>M1QLC99MALS9</v>
      </c>
      <c r="F6" s="1">
        <v>45200</v>
      </c>
      <c r="G6" t="s">
        <v>529</v>
      </c>
      <c r="H6" t="s">
        <v>530</v>
      </c>
      <c r="I6" s="59">
        <f>_xlfn.IFNA(VLOOKUP(A6,'619'!D:F,3,FALSE),0)</f>
        <v>8006.05</v>
      </c>
      <c r="J6" s="59">
        <f>_xlfn.IFNA(VLOOKUP(A6,'619'!D:Q,14,FALSE),0)</f>
        <v>8006.05</v>
      </c>
      <c r="K6" s="59">
        <f>_xlfn.IFNA(VLOOKUP(A6,'619'!D:Q,14,FALSE),0)</f>
        <v>8006.05</v>
      </c>
      <c r="O6" t="s">
        <v>531</v>
      </c>
      <c r="P6" t="str">
        <f>_xlfn.IFNA(VLOOKUP(A6,IndirectCost!B:L,11,FALSE),"")</f>
        <v/>
      </c>
      <c r="Q6">
        <f t="shared" si="0"/>
        <v>0</v>
      </c>
    </row>
    <row r="7" spans="1:17">
      <c r="A7" t="s">
        <v>52</v>
      </c>
      <c r="B7" t="s">
        <v>536</v>
      </c>
      <c r="C7" t="str">
        <f>VLOOKUP(A7,Districts!A:I,9,FALSE)</f>
        <v>ACADEMY OF MATH &amp; SCIENCE INC</v>
      </c>
      <c r="D7" t="str">
        <f>VLOOKUP(A7,Districts!A:P,16,FALSE)</f>
        <v>KRC5GNVNRTM6</v>
      </c>
      <c r="F7" s="1">
        <v>45200</v>
      </c>
      <c r="G7" t="s">
        <v>529</v>
      </c>
      <c r="H7" t="s">
        <v>530</v>
      </c>
      <c r="I7" s="59">
        <f>_xlfn.IFNA(VLOOKUP(A7,'619'!D:F,3,FALSE),0)</f>
        <v>858.29</v>
      </c>
      <c r="J7" s="59">
        <f>_xlfn.IFNA(VLOOKUP(A7,'619'!D:Q,14,FALSE),0)</f>
        <v>858.29</v>
      </c>
      <c r="K7" s="59">
        <f>_xlfn.IFNA(VLOOKUP(A7,'619'!D:Q,14,FALSE),0)</f>
        <v>858.29</v>
      </c>
      <c r="O7" t="s">
        <v>531</v>
      </c>
      <c r="P7" t="str">
        <f>_xlfn.IFNA(VLOOKUP(A7,IndirectCost!B:L,11,FALSE),"")</f>
        <v/>
      </c>
      <c r="Q7">
        <f t="shared" si="0"/>
        <v>0</v>
      </c>
    </row>
    <row r="8" spans="1:17">
      <c r="A8" t="s">
        <v>51</v>
      </c>
      <c r="B8" t="s">
        <v>536</v>
      </c>
      <c r="C8" t="str">
        <f>VLOOKUP(A8,Districts!A:I,9,FALSE)</f>
        <v>ACADEMY OF MATH &amp; SCIENCE INC</v>
      </c>
      <c r="D8" t="str">
        <f>VLOOKUP(A8,Districts!A:P,16,FALSE)</f>
        <v>KRC5GNVNRTM6</v>
      </c>
      <c r="F8" s="1">
        <v>45200</v>
      </c>
      <c r="G8" t="s">
        <v>529</v>
      </c>
      <c r="H8" t="s">
        <v>530</v>
      </c>
      <c r="I8" s="59">
        <f>_xlfn.IFNA(VLOOKUP(A8,'619'!D:F,3,FALSE),0)</f>
        <v>2718.67</v>
      </c>
      <c r="J8" s="59">
        <f>_xlfn.IFNA(VLOOKUP(A8,'619'!D:Q,14,FALSE),0)</f>
        <v>2718.67</v>
      </c>
      <c r="K8" s="59">
        <f>_xlfn.IFNA(VLOOKUP(A8,'619'!D:Q,14,FALSE),0)</f>
        <v>2718.67</v>
      </c>
      <c r="O8" t="s">
        <v>531</v>
      </c>
      <c r="P8" t="str">
        <f>_xlfn.IFNA(VLOOKUP(A8,IndirectCost!B:L,11,FALSE),"")</f>
        <v/>
      </c>
      <c r="Q8">
        <f t="shared" si="0"/>
        <v>0</v>
      </c>
    </row>
    <row r="9" spans="1:17">
      <c r="A9" t="s">
        <v>53</v>
      </c>
      <c r="B9" t="s">
        <v>537</v>
      </c>
      <c r="C9" t="str">
        <f>VLOOKUP(A9,Districts!A:I,9,FALSE)</f>
        <v>Academy of Tucson, Inc.</v>
      </c>
      <c r="D9" t="str">
        <f>VLOOKUP(A9,Districts!A:P,16,FALSE)</f>
        <v>CJBNXNM4KB69</v>
      </c>
      <c r="F9" s="1">
        <v>45200</v>
      </c>
      <c r="G9" t="s">
        <v>529</v>
      </c>
      <c r="H9" t="s">
        <v>530</v>
      </c>
      <c r="I9" s="59">
        <f>_xlfn.IFNA(VLOOKUP(A9,'619'!D:F,3,FALSE),0)</f>
        <v>1191.6600000000001</v>
      </c>
      <c r="J9" s="59">
        <f>_xlfn.IFNA(VLOOKUP(A9,'619'!D:Q,14,FALSE),0)</f>
        <v>1385.7</v>
      </c>
      <c r="K9" s="59">
        <f>_xlfn.IFNA(VLOOKUP(A9,'619'!D:Q,14,FALSE),0)</f>
        <v>1385.7</v>
      </c>
      <c r="O9" t="s">
        <v>531</v>
      </c>
      <c r="P9" t="str">
        <f>_xlfn.IFNA(VLOOKUP(A9,IndirectCost!B:L,11,FALSE),"")</f>
        <v/>
      </c>
      <c r="Q9">
        <f t="shared" si="0"/>
        <v>0</v>
      </c>
    </row>
    <row r="10" spans="1:17">
      <c r="A10" t="s">
        <v>538</v>
      </c>
      <c r="B10" t="s">
        <v>539</v>
      </c>
      <c r="C10" t="str">
        <f>VLOOKUP(A10,Districts!A:I,9,FALSE)</f>
        <v>Academy with Community Partners - Arizona, inc.</v>
      </c>
      <c r="D10" t="str">
        <f>VLOOKUP(A10,Districts!A:P,16,FALSE)</f>
        <v>LEKMN9VU1ZH3</v>
      </c>
      <c r="F10" s="1">
        <v>45200</v>
      </c>
      <c r="G10" t="s">
        <v>529</v>
      </c>
      <c r="H10" t="s">
        <v>530</v>
      </c>
      <c r="I10" s="59">
        <f>_xlfn.IFNA(VLOOKUP(A10,'619'!D:F,3,FALSE),0)</f>
        <v>0</v>
      </c>
      <c r="J10" s="59">
        <f>_xlfn.IFNA(VLOOKUP(A10,'619'!D:Q,14,FALSE),0)</f>
        <v>0</v>
      </c>
      <c r="K10" s="59">
        <f>_xlfn.IFNA(VLOOKUP(A10,'619'!D:Q,14,FALSE),0)</f>
        <v>0</v>
      </c>
      <c r="O10" t="s">
        <v>531</v>
      </c>
      <c r="P10" t="str">
        <f>_xlfn.IFNA(VLOOKUP(A10,IndirectCost!B:L,11,FALSE),"")</f>
        <v/>
      </c>
      <c r="Q10">
        <f t="shared" si="0"/>
        <v>0</v>
      </c>
    </row>
    <row r="11" spans="1:17">
      <c r="A11" t="s">
        <v>54</v>
      </c>
      <c r="B11" t="s">
        <v>540</v>
      </c>
      <c r="C11" t="str">
        <f>VLOOKUP(A11,Districts!A:I,9,FALSE)</f>
        <v>ACCLAIM Charter School</v>
      </c>
      <c r="D11" t="str">
        <f>VLOOKUP(A11,Districts!A:P,16,FALSE)</f>
        <v>KFMNY4EPWN86</v>
      </c>
      <c r="F11" s="1">
        <v>45200</v>
      </c>
      <c r="G11" t="s">
        <v>529</v>
      </c>
      <c r="H11" t="s">
        <v>530</v>
      </c>
      <c r="I11" s="59">
        <f>_xlfn.IFNA(VLOOKUP(A11,'619'!D:F,3,FALSE),0)</f>
        <v>511.9</v>
      </c>
      <c r="J11" s="59">
        <f>_xlfn.IFNA(VLOOKUP(A11,'619'!D:Q,14,FALSE),0)</f>
        <v>511.9</v>
      </c>
      <c r="K11" s="59">
        <f>_xlfn.IFNA(VLOOKUP(A11,'619'!D:Q,14,FALSE),0)</f>
        <v>511.9</v>
      </c>
      <c r="O11" t="s">
        <v>531</v>
      </c>
      <c r="P11">
        <f>_xlfn.IFNA(VLOOKUP(A11,IndirectCost!B:L,11,FALSE),"")</f>
        <v>8</v>
      </c>
      <c r="Q11">
        <f t="shared" si="0"/>
        <v>0.08</v>
      </c>
    </row>
    <row r="12" spans="1:17">
      <c r="A12" t="s">
        <v>55</v>
      </c>
      <c r="B12" t="s">
        <v>541</v>
      </c>
      <c r="C12" t="str">
        <f>VLOOKUP(A12,Districts!A:I,9,FALSE)</f>
        <v>Acorn Montessori Charter School</v>
      </c>
      <c r="D12" t="str">
        <f>VLOOKUP(A12,Districts!A:P,16,FALSE)</f>
        <v>UT9HNKTD3735</v>
      </c>
      <c r="F12" s="1">
        <v>45200</v>
      </c>
      <c r="G12" t="s">
        <v>529</v>
      </c>
      <c r="H12" t="s">
        <v>530</v>
      </c>
      <c r="I12" s="59">
        <f>_xlfn.IFNA(VLOOKUP(A12,'619'!D:F,3,FALSE),0)</f>
        <v>1768.93</v>
      </c>
      <c r="J12" s="59">
        <f>_xlfn.IFNA(VLOOKUP(A12,'619'!D:Q,14,FALSE),0)</f>
        <v>1768.93</v>
      </c>
      <c r="K12" s="59">
        <f>_xlfn.IFNA(VLOOKUP(A12,'619'!D:Q,14,FALSE),0)</f>
        <v>1768.93</v>
      </c>
      <c r="O12" t="s">
        <v>531</v>
      </c>
      <c r="P12" t="str">
        <f>_xlfn.IFNA(VLOOKUP(A12,IndirectCost!B:L,11,FALSE),"")</f>
        <v/>
      </c>
      <c r="Q12">
        <f t="shared" si="0"/>
        <v>0</v>
      </c>
    </row>
    <row r="13" spans="1:17">
      <c r="A13" t="s">
        <v>542</v>
      </c>
      <c r="B13" t="s">
        <v>543</v>
      </c>
      <c r="C13" t="str">
        <f>VLOOKUP(A13,Districts!A:I,9,FALSE)</f>
        <v>Agua Fria Union High School District #216</v>
      </c>
      <c r="D13" t="str">
        <f>VLOOKUP(A13,Districts!A:P,16,FALSE)</f>
        <v>YLDQMJK9YMM8</v>
      </c>
      <c r="F13" s="1">
        <v>45200</v>
      </c>
      <c r="G13" t="s">
        <v>529</v>
      </c>
      <c r="H13" t="s">
        <v>530</v>
      </c>
      <c r="I13" s="59">
        <f>_xlfn.IFNA(VLOOKUP(A13,'619'!D:F,3,FALSE),0)</f>
        <v>0</v>
      </c>
      <c r="J13" s="59">
        <f>_xlfn.IFNA(VLOOKUP(A13,'619'!D:Q,14,FALSE),0)</f>
        <v>0</v>
      </c>
      <c r="K13" s="59">
        <f>_xlfn.IFNA(VLOOKUP(A13,'619'!D:Q,14,FALSE),0)</f>
        <v>0</v>
      </c>
      <c r="O13" t="s">
        <v>531</v>
      </c>
      <c r="P13">
        <f>_xlfn.IFNA(VLOOKUP(A13,IndirectCost!B:L,11,FALSE),"")</f>
        <v>4.8099999999999996</v>
      </c>
      <c r="Q13">
        <f t="shared" si="0"/>
        <v>4.8099999999999997E-2</v>
      </c>
    </row>
    <row r="14" spans="1:17">
      <c r="A14" t="s">
        <v>56</v>
      </c>
      <c r="B14" t="s">
        <v>544</v>
      </c>
      <c r="C14" t="str">
        <f>VLOOKUP(A14,Districts!A:I,9,FALSE)</f>
        <v>Aguila School District 63</v>
      </c>
      <c r="D14" t="str">
        <f>VLOOKUP(A14,Districts!A:P,16,FALSE)</f>
        <v>SFT7AZ7PHHZ8</v>
      </c>
      <c r="F14" s="1">
        <v>45200</v>
      </c>
      <c r="G14" t="s">
        <v>529</v>
      </c>
      <c r="H14" t="s">
        <v>530</v>
      </c>
      <c r="I14" s="59">
        <f>_xlfn.IFNA(VLOOKUP(A14,'619'!D:F,3,FALSE),0)</f>
        <v>429.51</v>
      </c>
      <c r="J14" s="59">
        <f>_xlfn.IFNA(VLOOKUP(A14,'619'!D:Q,14,FALSE),0)</f>
        <v>429.51</v>
      </c>
      <c r="K14" s="59">
        <f>_xlfn.IFNA(VLOOKUP(A14,'619'!D:Q,14,FALSE),0)</f>
        <v>429.51</v>
      </c>
      <c r="O14" t="s">
        <v>531</v>
      </c>
      <c r="P14" t="str">
        <f>_xlfn.IFNA(VLOOKUP(A14,IndirectCost!B:L,11,FALSE),"")</f>
        <v/>
      </c>
      <c r="Q14">
        <f t="shared" si="0"/>
        <v>0</v>
      </c>
    </row>
    <row r="15" spans="1:17">
      <c r="A15" t="s">
        <v>545</v>
      </c>
      <c r="B15" t="s">
        <v>546</v>
      </c>
      <c r="C15" t="str">
        <f>VLOOKUP(A15,Districts!A:I,9,FALSE)</f>
        <v>AIBT Non-Profit Charter High School, Inc.</v>
      </c>
      <c r="D15" t="str">
        <f>VLOOKUP(A15,Districts!A:P,16,FALSE)</f>
        <v>TU9UE3FKPLW8</v>
      </c>
      <c r="F15" s="1">
        <v>45200</v>
      </c>
      <c r="G15" t="s">
        <v>529</v>
      </c>
      <c r="H15" t="s">
        <v>530</v>
      </c>
      <c r="I15" s="59">
        <f>_xlfn.IFNA(VLOOKUP(A15,'619'!D:F,3,FALSE),0)</f>
        <v>0</v>
      </c>
      <c r="J15" s="59">
        <f>_xlfn.IFNA(VLOOKUP(A15,'619'!D:Q,14,FALSE),0)</f>
        <v>0</v>
      </c>
      <c r="K15" s="59">
        <f>_xlfn.IFNA(VLOOKUP(A15,'619'!D:Q,14,FALSE),0)</f>
        <v>0</v>
      </c>
      <c r="O15" t="s">
        <v>531</v>
      </c>
      <c r="P15">
        <f>_xlfn.IFNA(VLOOKUP(A15,IndirectCost!B:L,11,FALSE),"")</f>
        <v>8</v>
      </c>
      <c r="Q15">
        <f t="shared" si="0"/>
        <v>0.08</v>
      </c>
    </row>
    <row r="16" spans="1:17">
      <c r="A16" t="s">
        <v>547</v>
      </c>
      <c r="B16" t="s">
        <v>548</v>
      </c>
      <c r="C16" t="str">
        <f>VLOOKUP(A16,Districts!A:I,9,FALSE)</f>
        <v>AIBT Non-Profit Charter High School, Inc. DBA PEORIA PREP</v>
      </c>
      <c r="D16" t="str">
        <f>VLOOKUP(A16,Districts!A:P,16,FALSE)</f>
        <v>L8GJHQ1G3P68</v>
      </c>
      <c r="F16" s="1">
        <v>45200</v>
      </c>
      <c r="G16" t="s">
        <v>529</v>
      </c>
      <c r="H16" t="s">
        <v>530</v>
      </c>
      <c r="I16" s="59">
        <f>_xlfn.IFNA(VLOOKUP(A16,'619'!D:F,3,FALSE),0)</f>
        <v>0</v>
      </c>
      <c r="J16" s="59">
        <f>_xlfn.IFNA(VLOOKUP(A16,'619'!D:Q,14,FALSE),0)</f>
        <v>0</v>
      </c>
      <c r="K16" s="59">
        <f>_xlfn.IFNA(VLOOKUP(A16,'619'!D:Q,14,FALSE),0)</f>
        <v>0</v>
      </c>
      <c r="O16" t="s">
        <v>531</v>
      </c>
      <c r="P16">
        <f>_xlfn.IFNA(VLOOKUP(A16,IndirectCost!B:L,11,FALSE),"")</f>
        <v>8</v>
      </c>
      <c r="Q16">
        <f t="shared" si="0"/>
        <v>0.08</v>
      </c>
    </row>
    <row r="17" spans="1:17">
      <c r="A17" t="s">
        <v>57</v>
      </c>
      <c r="B17" t="s">
        <v>549</v>
      </c>
      <c r="C17" t="str">
        <f>VLOOKUP(A17,Districts!A:I,9,FALSE)</f>
        <v>Ajo Unified School District DBA Ajo Unified School District 15</v>
      </c>
      <c r="D17" t="str">
        <f>VLOOKUP(A17,Districts!A:P,16,FALSE)</f>
        <v>NSB1M6BNXNC9</v>
      </c>
      <c r="F17" s="1">
        <v>45200</v>
      </c>
      <c r="G17" t="s">
        <v>529</v>
      </c>
      <c r="H17" t="s">
        <v>530</v>
      </c>
      <c r="I17" s="59">
        <f>_xlfn.IFNA(VLOOKUP(A17,'619'!D:F,3,FALSE),0)</f>
        <v>1702.85</v>
      </c>
      <c r="J17" s="59">
        <f>_xlfn.IFNA(VLOOKUP(A17,'619'!D:Q,14,FALSE),0)</f>
        <v>1702.85</v>
      </c>
      <c r="K17" s="59">
        <f>_xlfn.IFNA(VLOOKUP(A17,'619'!D:Q,14,FALSE),0)</f>
        <v>1702.85</v>
      </c>
      <c r="O17" t="s">
        <v>531</v>
      </c>
      <c r="P17">
        <f>_xlfn.IFNA(VLOOKUP(A17,IndirectCost!B:L,11,FALSE),"")</f>
        <v>8</v>
      </c>
      <c r="Q17">
        <f t="shared" si="0"/>
        <v>0.08</v>
      </c>
    </row>
    <row r="18" spans="1:17">
      <c r="A18" t="s">
        <v>58</v>
      </c>
      <c r="B18" t="s">
        <v>550</v>
      </c>
      <c r="C18" t="str">
        <f>VLOOKUP(A18,Districts!A:I,9,FALSE)</f>
        <v>AKIMEL O'OTHAM PEE POSH CHARTER SCHOOL, INC.</v>
      </c>
      <c r="D18" t="str">
        <f>VLOOKUP(A18,Districts!A:P,16,FALSE)</f>
        <v>G46QRKKYCMY3</v>
      </c>
      <c r="F18" s="1">
        <v>45200</v>
      </c>
      <c r="G18" t="s">
        <v>529</v>
      </c>
      <c r="H18" t="s">
        <v>530</v>
      </c>
      <c r="I18" s="59">
        <f>_xlfn.IFNA(VLOOKUP(A18,'619'!D:F,3,FALSE),0)</f>
        <v>1507.25</v>
      </c>
      <c r="J18" s="59">
        <f>_xlfn.IFNA(VLOOKUP(A18,'619'!D:Q,14,FALSE),0)</f>
        <v>0</v>
      </c>
      <c r="K18" s="59">
        <f>_xlfn.IFNA(VLOOKUP(A18,'619'!D:Q,14,FALSE),0)</f>
        <v>0</v>
      </c>
      <c r="O18" t="s">
        <v>531</v>
      </c>
      <c r="P18" t="str">
        <f>_xlfn.IFNA(VLOOKUP(A18,IndirectCost!B:L,11,FALSE),"")</f>
        <v/>
      </c>
      <c r="Q18">
        <f t="shared" si="0"/>
        <v>0</v>
      </c>
    </row>
    <row r="19" spans="1:17">
      <c r="A19" t="s">
        <v>551</v>
      </c>
      <c r="B19" t="s">
        <v>552</v>
      </c>
      <c r="C19" t="str">
        <f>VLOOKUP(A19,Districts!A:I,9,FALSE)</f>
        <v>Akimel O'Otham Pee Posh Charter School Inc. Akimel O'otham Pee Posh 3-5</v>
      </c>
      <c r="D19" t="str">
        <f>VLOOKUP(A19,Districts!A:P,16,FALSE)</f>
        <v>S6MCB6YAACM3</v>
      </c>
      <c r="F19" s="1">
        <v>45200</v>
      </c>
      <c r="G19" t="s">
        <v>529</v>
      </c>
      <c r="H19" t="s">
        <v>530</v>
      </c>
      <c r="I19" s="59">
        <f>_xlfn.IFNA(VLOOKUP(A19,'619'!D:F,3,FALSE),0)</f>
        <v>0</v>
      </c>
      <c r="J19" s="59">
        <f>_xlfn.IFNA(VLOOKUP(A19,'619'!D:Q,14,FALSE),0)</f>
        <v>0</v>
      </c>
      <c r="K19" s="59">
        <f>_xlfn.IFNA(VLOOKUP(A19,'619'!D:Q,14,FALSE),0)</f>
        <v>0</v>
      </c>
      <c r="O19" t="s">
        <v>531</v>
      </c>
      <c r="P19" t="str">
        <f>_xlfn.IFNA(VLOOKUP(A19,IndirectCost!B:L,11,FALSE),"")</f>
        <v/>
      </c>
      <c r="Q19">
        <f t="shared" si="0"/>
        <v>0</v>
      </c>
    </row>
    <row r="20" spans="1:17">
      <c r="A20" t="s">
        <v>59</v>
      </c>
      <c r="B20" t="s">
        <v>553</v>
      </c>
      <c r="C20" t="str">
        <f>VLOOKUP(A20,Districts!A:I,9,FALSE)</f>
        <v>Alhambra Elementary School District</v>
      </c>
      <c r="D20" t="str">
        <f>VLOOKUP(A20,Districts!A:P,16,FALSE)</f>
        <v>MFFQJLG4KY23</v>
      </c>
      <c r="F20" s="1">
        <v>45200</v>
      </c>
      <c r="G20" t="s">
        <v>529</v>
      </c>
      <c r="H20" t="s">
        <v>530</v>
      </c>
      <c r="I20" s="59">
        <f>_xlfn.IFNA(VLOOKUP(A20,'619'!D:F,3,FALSE),0)</f>
        <v>61804.71</v>
      </c>
      <c r="J20" s="59">
        <f>_xlfn.IFNA(VLOOKUP(A20,'619'!D:Q,14,FALSE),0)</f>
        <v>103203.83</v>
      </c>
      <c r="K20" s="59">
        <f>_xlfn.IFNA(VLOOKUP(A20,'619'!D:Q,14,FALSE),0)</f>
        <v>103203.83</v>
      </c>
      <c r="O20" t="s">
        <v>531</v>
      </c>
      <c r="P20">
        <f>_xlfn.IFNA(VLOOKUP(A20,IndirectCost!B:L,11,FALSE),"")</f>
        <v>2.96</v>
      </c>
      <c r="Q20">
        <f t="shared" si="0"/>
        <v>2.9600000000000001E-2</v>
      </c>
    </row>
    <row r="21" spans="1:17">
      <c r="A21" t="s">
        <v>60</v>
      </c>
      <c r="B21" t="s">
        <v>554</v>
      </c>
      <c r="C21" t="str">
        <f>VLOOKUP(A21,Districts!A:I,9,FALSE)</f>
        <v>ALPINE ELEMENTARY SCHOOL DISTRICT 7</v>
      </c>
      <c r="D21" t="str">
        <f>VLOOKUP(A21,Districts!A:P,16,FALSE)</f>
        <v>C7FLNRYJNCU2</v>
      </c>
      <c r="F21" s="1">
        <v>45200</v>
      </c>
      <c r="G21" t="s">
        <v>529</v>
      </c>
      <c r="H21" t="s">
        <v>530</v>
      </c>
      <c r="I21" s="59">
        <f>_xlfn.IFNA(VLOOKUP(A21,'619'!D:F,3,FALSE),0)</f>
        <v>496.27</v>
      </c>
      <c r="J21" s="59">
        <f>_xlfn.IFNA(VLOOKUP(A21,'619'!D:Q,14,FALSE),0)</f>
        <v>0</v>
      </c>
      <c r="K21" s="59">
        <f>_xlfn.IFNA(VLOOKUP(A21,'619'!D:Q,14,FALSE),0)</f>
        <v>0</v>
      </c>
      <c r="O21" t="s">
        <v>531</v>
      </c>
      <c r="P21" t="str">
        <f>_xlfn.IFNA(VLOOKUP(A21,IndirectCost!B:L,11,FALSE),"")</f>
        <v/>
      </c>
      <c r="Q21">
        <f t="shared" si="0"/>
        <v>0</v>
      </c>
    </row>
    <row r="22" spans="1:17">
      <c r="A22" t="s">
        <v>61</v>
      </c>
      <c r="B22" t="s">
        <v>555</v>
      </c>
      <c r="C22" t="str">
        <f>VLOOKUP(A22,Districts!A:I,9,FALSE)</f>
        <v>Altar Valley District 51</v>
      </c>
      <c r="D22" t="str">
        <f>VLOOKUP(A22,Districts!A:P,16,FALSE)</f>
        <v>NYQLQPYMG2E5</v>
      </c>
      <c r="F22" s="1">
        <v>45200</v>
      </c>
      <c r="G22" t="s">
        <v>529</v>
      </c>
      <c r="H22" t="s">
        <v>530</v>
      </c>
      <c r="I22" s="59">
        <f>_xlfn.IFNA(VLOOKUP(A22,'619'!D:F,3,FALSE),0)</f>
        <v>3567.55</v>
      </c>
      <c r="J22" s="59">
        <f>_xlfn.IFNA(VLOOKUP(A22,'619'!D:Q,14,FALSE),0)</f>
        <v>3567.55</v>
      </c>
      <c r="K22" s="59">
        <f>_xlfn.IFNA(VLOOKUP(A22,'619'!D:Q,14,FALSE),0)</f>
        <v>3567.55</v>
      </c>
      <c r="O22" t="s">
        <v>531</v>
      </c>
      <c r="P22">
        <f>_xlfn.IFNA(VLOOKUP(A22,IndirectCost!B:L,11,FALSE),"")</f>
        <v>6.84</v>
      </c>
      <c r="Q22">
        <f t="shared" si="0"/>
        <v>6.8400000000000002E-2</v>
      </c>
    </row>
    <row r="23" spans="1:17">
      <c r="A23" t="s">
        <v>556</v>
      </c>
      <c r="B23" t="s">
        <v>557</v>
      </c>
      <c r="C23" t="str">
        <f>VLOOKUP(A23,Districts!A:I,9,FALSE)</f>
        <v>AMERICAN CHARTER SCHOOLS FOUNDATION</v>
      </c>
      <c r="D23" t="str">
        <f>VLOOKUP(A23,Districts!A:P,16,FALSE)</f>
        <v>JHK3G79PAFL8</v>
      </c>
      <c r="F23" s="1">
        <v>45200</v>
      </c>
      <c r="G23" t="s">
        <v>529</v>
      </c>
      <c r="H23" t="s">
        <v>530</v>
      </c>
      <c r="I23" s="59">
        <f>_xlfn.IFNA(VLOOKUP(A23,'619'!D:F,3,FALSE),0)</f>
        <v>0</v>
      </c>
      <c r="J23" s="59">
        <f>_xlfn.IFNA(VLOOKUP(A23,'619'!D:Q,14,FALSE),0)</f>
        <v>0</v>
      </c>
      <c r="K23" s="59">
        <f>_xlfn.IFNA(VLOOKUP(A23,'619'!D:Q,14,FALSE),0)</f>
        <v>0</v>
      </c>
      <c r="O23" t="s">
        <v>531</v>
      </c>
      <c r="P23">
        <f>_xlfn.IFNA(VLOOKUP(A23,IndirectCost!B:L,11,FALSE),"")</f>
        <v>8</v>
      </c>
      <c r="Q23">
        <f t="shared" si="0"/>
        <v>0.08</v>
      </c>
    </row>
    <row r="24" spans="1:17">
      <c r="A24" t="s">
        <v>558</v>
      </c>
      <c r="B24" t="s">
        <v>559</v>
      </c>
      <c r="C24" t="str">
        <f>VLOOKUP(A24,Districts!A:I,9,FALSE)</f>
        <v>AMERICAN CHARTER SCHOOLS FOUNDATION</v>
      </c>
      <c r="D24" t="str">
        <f>VLOOKUP(A24,Districts!A:P,16,FALSE)</f>
        <v>DDK8RXXX41W7</v>
      </c>
      <c r="F24" s="1">
        <v>45200</v>
      </c>
      <c r="G24" t="s">
        <v>529</v>
      </c>
      <c r="H24" t="s">
        <v>530</v>
      </c>
      <c r="I24" s="59">
        <f>_xlfn.IFNA(VLOOKUP(A24,'619'!D:F,3,FALSE),0)</f>
        <v>0</v>
      </c>
      <c r="J24" s="59">
        <f>_xlfn.IFNA(VLOOKUP(A24,'619'!D:Q,14,FALSE),0)</f>
        <v>0</v>
      </c>
      <c r="K24" s="59">
        <f>_xlfn.IFNA(VLOOKUP(A24,'619'!D:Q,14,FALSE),0)</f>
        <v>0</v>
      </c>
      <c r="O24" t="s">
        <v>531</v>
      </c>
      <c r="P24">
        <f>_xlfn.IFNA(VLOOKUP(A24,IndirectCost!B:L,11,FALSE),"")</f>
        <v>8</v>
      </c>
      <c r="Q24">
        <f t="shared" si="0"/>
        <v>0.08</v>
      </c>
    </row>
    <row r="25" spans="1:17">
      <c r="A25" t="s">
        <v>560</v>
      </c>
      <c r="B25" t="s">
        <v>561</v>
      </c>
      <c r="C25" t="str">
        <f>VLOOKUP(A25,Districts!A:I,9,FALSE)</f>
        <v>American Charter Schools Foundation d.b.a. Crestview College Preparatory High School</v>
      </c>
      <c r="D25" t="str">
        <f>VLOOKUP(A25,Districts!A:P,16,FALSE)</f>
        <v>ZJH6PVJNZA94</v>
      </c>
      <c r="F25" s="1">
        <v>45200</v>
      </c>
      <c r="G25" t="s">
        <v>529</v>
      </c>
      <c r="H25" t="s">
        <v>530</v>
      </c>
      <c r="I25" s="59">
        <f>_xlfn.IFNA(VLOOKUP(A25,'619'!D:F,3,FALSE),0)</f>
        <v>0</v>
      </c>
      <c r="J25" s="59">
        <f>_xlfn.IFNA(VLOOKUP(A25,'619'!D:Q,14,FALSE),0)</f>
        <v>0</v>
      </c>
      <c r="K25" s="59">
        <f>_xlfn.IFNA(VLOOKUP(A25,'619'!D:Q,14,FALSE),0)</f>
        <v>0</v>
      </c>
      <c r="O25" t="s">
        <v>531</v>
      </c>
      <c r="P25">
        <f>_xlfn.IFNA(VLOOKUP(A25,IndirectCost!B:L,11,FALSE),"")</f>
        <v>8</v>
      </c>
      <c r="Q25">
        <f t="shared" si="0"/>
        <v>0.08</v>
      </c>
    </row>
    <row r="26" spans="1:17">
      <c r="A26" t="s">
        <v>562</v>
      </c>
      <c r="B26" t="s">
        <v>563</v>
      </c>
      <c r="C26" t="str">
        <f>VLOOKUP(A26,Districts!A:I,9,FALSE)</f>
        <v>American Charter Schools Foundation d.b.a. Desert Hills High School</v>
      </c>
      <c r="D26" t="str">
        <f>VLOOKUP(A26,Districts!A:P,16,FALSE)</f>
        <v>HFF5MCPA45M4</v>
      </c>
      <c r="F26" s="1">
        <v>45200</v>
      </c>
      <c r="G26" t="s">
        <v>529</v>
      </c>
      <c r="H26" t="s">
        <v>530</v>
      </c>
      <c r="I26" s="59">
        <f>_xlfn.IFNA(VLOOKUP(A26,'619'!D:F,3,FALSE),0)</f>
        <v>0</v>
      </c>
      <c r="J26" s="59">
        <f>_xlfn.IFNA(VLOOKUP(A26,'619'!D:Q,14,FALSE),0)</f>
        <v>0</v>
      </c>
      <c r="K26" s="59">
        <f>_xlfn.IFNA(VLOOKUP(A26,'619'!D:Q,14,FALSE),0)</f>
        <v>0</v>
      </c>
      <c r="O26" t="s">
        <v>531</v>
      </c>
      <c r="P26">
        <f>_xlfn.IFNA(VLOOKUP(A26,IndirectCost!B:L,11,FALSE),"")</f>
        <v>8</v>
      </c>
      <c r="Q26">
        <f t="shared" si="0"/>
        <v>0.08</v>
      </c>
    </row>
    <row r="27" spans="1:17">
      <c r="A27" t="s">
        <v>564</v>
      </c>
      <c r="B27" t="s">
        <v>565</v>
      </c>
      <c r="C27" t="str">
        <f>VLOOKUP(A27,Districts!A:I,9,FALSE)</f>
        <v>AMERICAN CHARTER SCHOOLS FOUNDATION</v>
      </c>
      <c r="D27" t="str">
        <f>VLOOKUP(A27,Districts!A:P,16,FALSE)</f>
        <v>LVFTXW9KNKS3</v>
      </c>
      <c r="F27" s="1">
        <v>45200</v>
      </c>
      <c r="G27" t="s">
        <v>529</v>
      </c>
      <c r="H27" t="s">
        <v>530</v>
      </c>
      <c r="I27" s="59">
        <f>_xlfn.IFNA(VLOOKUP(A27,'619'!D:F,3,FALSE),0)</f>
        <v>0</v>
      </c>
      <c r="J27" s="59">
        <f>_xlfn.IFNA(VLOOKUP(A27,'619'!D:Q,14,FALSE),0)</f>
        <v>0</v>
      </c>
      <c r="K27" s="59">
        <f>_xlfn.IFNA(VLOOKUP(A27,'619'!D:Q,14,FALSE),0)</f>
        <v>0</v>
      </c>
      <c r="O27" t="s">
        <v>531</v>
      </c>
      <c r="P27">
        <f>_xlfn.IFNA(VLOOKUP(A27,IndirectCost!B:L,11,FALSE),"")</f>
        <v>8</v>
      </c>
      <c r="Q27">
        <f t="shared" si="0"/>
        <v>0.08</v>
      </c>
    </row>
    <row r="28" spans="1:17">
      <c r="A28" t="s">
        <v>566</v>
      </c>
      <c r="B28" t="s">
        <v>567</v>
      </c>
      <c r="C28" t="str">
        <f>VLOOKUP(A28,Districts!A:I,9,FALSE)</f>
        <v>AMERICAN CHARTER SCHOOLS FOUNDATION</v>
      </c>
      <c r="D28" t="str">
        <f>VLOOKUP(A28,Districts!A:P,16,FALSE)</f>
        <v>M3N5YLH34YQ8</v>
      </c>
      <c r="F28" s="1">
        <v>45200</v>
      </c>
      <c r="G28" t="s">
        <v>529</v>
      </c>
      <c r="H28" t="s">
        <v>530</v>
      </c>
      <c r="I28" s="59">
        <f>_xlfn.IFNA(VLOOKUP(A28,'619'!D:F,3,FALSE),0)</f>
        <v>0</v>
      </c>
      <c r="J28" s="59">
        <f>_xlfn.IFNA(VLOOKUP(A28,'619'!D:Q,14,FALSE),0)</f>
        <v>0</v>
      </c>
      <c r="K28" s="59">
        <f>_xlfn.IFNA(VLOOKUP(A28,'619'!D:Q,14,FALSE),0)</f>
        <v>0</v>
      </c>
      <c r="O28" t="s">
        <v>531</v>
      </c>
      <c r="P28">
        <f>_xlfn.IFNA(VLOOKUP(A28,IndirectCost!B:L,11,FALSE),"")</f>
        <v>8</v>
      </c>
      <c r="Q28">
        <f t="shared" si="0"/>
        <v>0.08</v>
      </c>
    </row>
    <row r="29" spans="1:17">
      <c r="A29" t="s">
        <v>568</v>
      </c>
      <c r="B29" t="s">
        <v>569</v>
      </c>
      <c r="C29" t="str">
        <f>VLOOKUP(A29,Districts!A:I,9,FALSE)</f>
        <v>AMERICAN CHARTER SCHOOLS FOUNDATION</v>
      </c>
      <c r="D29" t="str">
        <f>VLOOKUP(A29,Districts!A:P,16,FALSE)</f>
        <v>JWWUBSJ1A9H3</v>
      </c>
      <c r="F29" s="1">
        <v>45200</v>
      </c>
      <c r="G29" t="s">
        <v>529</v>
      </c>
      <c r="H29" t="s">
        <v>530</v>
      </c>
      <c r="I29" s="59">
        <f>_xlfn.IFNA(VLOOKUP(A29,'619'!D:F,3,FALSE),0)</f>
        <v>0</v>
      </c>
      <c r="J29" s="59">
        <f>_xlfn.IFNA(VLOOKUP(A29,'619'!D:Q,14,FALSE),0)</f>
        <v>0</v>
      </c>
      <c r="K29" s="59">
        <f>_xlfn.IFNA(VLOOKUP(A29,'619'!D:Q,14,FALSE),0)</f>
        <v>0</v>
      </c>
      <c r="O29" t="s">
        <v>531</v>
      </c>
      <c r="P29">
        <f>_xlfn.IFNA(VLOOKUP(A29,IndirectCost!B:L,11,FALSE),"")</f>
        <v>8</v>
      </c>
      <c r="Q29">
        <f t="shared" si="0"/>
        <v>0.08</v>
      </c>
    </row>
    <row r="30" spans="1:17">
      <c r="A30" t="s">
        <v>570</v>
      </c>
      <c r="B30" t="s">
        <v>571</v>
      </c>
      <c r="C30" t="str">
        <f>VLOOKUP(A30,Districts!A:I,9,FALSE)</f>
        <v>AMERICAN CHARTER SCHOOLS FOUNDATION</v>
      </c>
      <c r="D30" t="str">
        <f>VLOOKUP(A30,Districts!A:P,16,FALSE)</f>
        <v>NBVLX5VF26B9</v>
      </c>
      <c r="F30" s="1">
        <v>45200</v>
      </c>
      <c r="G30" t="s">
        <v>529</v>
      </c>
      <c r="H30" t="s">
        <v>530</v>
      </c>
      <c r="I30" s="59">
        <f>_xlfn.IFNA(VLOOKUP(A30,'619'!D:F,3,FALSE),0)</f>
        <v>0</v>
      </c>
      <c r="J30" s="59">
        <f>_xlfn.IFNA(VLOOKUP(A30,'619'!D:Q,14,FALSE),0)</f>
        <v>0</v>
      </c>
      <c r="K30" s="59">
        <f>_xlfn.IFNA(VLOOKUP(A30,'619'!D:Q,14,FALSE),0)</f>
        <v>0</v>
      </c>
      <c r="O30" t="s">
        <v>531</v>
      </c>
      <c r="P30">
        <f>_xlfn.IFNA(VLOOKUP(A30,IndirectCost!B:L,11,FALSE),"")</f>
        <v>8</v>
      </c>
      <c r="Q30">
        <f t="shared" si="0"/>
        <v>0.08</v>
      </c>
    </row>
    <row r="31" spans="1:17">
      <c r="A31" t="s">
        <v>572</v>
      </c>
      <c r="B31" t="s">
        <v>573</v>
      </c>
      <c r="C31" t="str">
        <f>VLOOKUP(A31,Districts!A:I,9,FALSE)</f>
        <v>American Charter Schools Foundation</v>
      </c>
      <c r="D31" t="str">
        <f>VLOOKUP(A31,Districts!A:P,16,FALSE)</f>
        <v>YSG9RKWLW1L9</v>
      </c>
      <c r="F31" s="1">
        <v>45200</v>
      </c>
      <c r="G31" t="s">
        <v>529</v>
      </c>
      <c r="H31" t="s">
        <v>530</v>
      </c>
      <c r="I31" s="59">
        <f>_xlfn.IFNA(VLOOKUP(A31,'619'!D:F,3,FALSE),0)</f>
        <v>0</v>
      </c>
      <c r="J31" s="59">
        <f>_xlfn.IFNA(VLOOKUP(A31,'619'!D:Q,14,FALSE),0)</f>
        <v>0</v>
      </c>
      <c r="K31" s="59">
        <f>_xlfn.IFNA(VLOOKUP(A31,'619'!D:Q,14,FALSE),0)</f>
        <v>0</v>
      </c>
      <c r="O31" t="s">
        <v>531</v>
      </c>
      <c r="P31">
        <f>_xlfn.IFNA(VLOOKUP(A31,IndirectCost!B:L,11,FALSE),"")</f>
        <v>8</v>
      </c>
      <c r="Q31">
        <f t="shared" si="0"/>
        <v>0.08</v>
      </c>
    </row>
    <row r="32" spans="1:17">
      <c r="A32" t="s">
        <v>574</v>
      </c>
      <c r="B32" t="s">
        <v>575</v>
      </c>
      <c r="C32" t="str">
        <f>VLOOKUP(A32,Districts!A:I,9,FALSE)</f>
        <v>AMERICAN CHARTER SCHOOLS FOUNDATION</v>
      </c>
      <c r="D32" t="str">
        <f>VLOOKUP(A32,Districts!A:P,16,FALSE)</f>
        <v>HYC1LJGQW311</v>
      </c>
      <c r="F32" s="1">
        <v>45200</v>
      </c>
      <c r="G32" t="s">
        <v>529</v>
      </c>
      <c r="H32" t="s">
        <v>530</v>
      </c>
      <c r="I32" s="59">
        <f>_xlfn.IFNA(VLOOKUP(A32,'619'!D:F,3,FALSE),0)</f>
        <v>0</v>
      </c>
      <c r="J32" s="59">
        <f>_xlfn.IFNA(VLOOKUP(A32,'619'!D:Q,14,FALSE),0)</f>
        <v>0</v>
      </c>
      <c r="K32" s="59">
        <f>_xlfn.IFNA(VLOOKUP(A32,'619'!D:Q,14,FALSE),0)</f>
        <v>0</v>
      </c>
      <c r="O32" t="s">
        <v>531</v>
      </c>
      <c r="P32">
        <f>_xlfn.IFNA(VLOOKUP(A32,IndirectCost!B:L,11,FALSE),"")</f>
        <v>8</v>
      </c>
      <c r="Q32">
        <f t="shared" si="0"/>
        <v>0.08</v>
      </c>
    </row>
    <row r="33" spans="1:17">
      <c r="A33" t="s">
        <v>576</v>
      </c>
      <c r="B33" t="s">
        <v>577</v>
      </c>
      <c r="C33" t="str">
        <f>VLOOKUP(A33,Districts!A:I,9,FALSE)</f>
        <v>AMERICAN CHARTER SCHOOLS FOUNDATION</v>
      </c>
      <c r="D33" t="str">
        <f>VLOOKUP(A33,Districts!A:P,16,FALSE)</f>
        <v>G8ANQPZGLNN3</v>
      </c>
      <c r="F33" s="1">
        <v>45200</v>
      </c>
      <c r="G33" t="s">
        <v>529</v>
      </c>
      <c r="H33" t="s">
        <v>530</v>
      </c>
      <c r="I33" s="59">
        <f>_xlfn.IFNA(VLOOKUP(A33,'619'!D:F,3,FALSE),0)</f>
        <v>0</v>
      </c>
      <c r="J33" s="59">
        <f>_xlfn.IFNA(VLOOKUP(A33,'619'!D:Q,14,FALSE),0)</f>
        <v>0</v>
      </c>
      <c r="K33" s="59">
        <f>_xlfn.IFNA(VLOOKUP(A33,'619'!D:Q,14,FALSE),0)</f>
        <v>0</v>
      </c>
      <c r="O33" t="s">
        <v>531</v>
      </c>
      <c r="P33">
        <f>_xlfn.IFNA(VLOOKUP(A33,IndirectCost!B:L,11,FALSE),"")</f>
        <v>0</v>
      </c>
      <c r="Q33">
        <f t="shared" si="0"/>
        <v>0</v>
      </c>
    </row>
    <row r="34" spans="1:17">
      <c r="A34" t="s">
        <v>62</v>
      </c>
      <c r="B34" t="s">
        <v>578</v>
      </c>
      <c r="C34" t="str">
        <f>VLOOKUP(A34,Districts!A:I,9,FALSE)</f>
        <v>American Leadership Academy</v>
      </c>
      <c r="D34" t="str">
        <f>VLOOKUP(A34,Districts!A:P,16,FALSE)</f>
        <v>YW9UY8AUXQE6</v>
      </c>
      <c r="F34" s="1">
        <v>45200</v>
      </c>
      <c r="G34" t="s">
        <v>529</v>
      </c>
      <c r="H34" t="s">
        <v>530</v>
      </c>
      <c r="I34" s="59">
        <f>_xlfn.IFNA(VLOOKUP(A34,'619'!D:F,3,FALSE),0)</f>
        <v>13354.69</v>
      </c>
      <c r="J34" s="59">
        <f>_xlfn.IFNA(VLOOKUP(A34,'619'!D:Q,14,FALSE),0)</f>
        <v>22627.51</v>
      </c>
      <c r="K34" s="59">
        <f>_xlfn.IFNA(VLOOKUP(A34,'619'!D:Q,14,FALSE),0)</f>
        <v>22627.51</v>
      </c>
      <c r="O34" t="s">
        <v>531</v>
      </c>
      <c r="P34" t="str">
        <f>_xlfn.IFNA(VLOOKUP(A34,IndirectCost!B:L,11,FALSE),"")</f>
        <v/>
      </c>
      <c r="Q34">
        <f t="shared" si="0"/>
        <v>0</v>
      </c>
    </row>
    <row r="35" spans="1:17">
      <c r="A35" t="s">
        <v>63</v>
      </c>
      <c r="B35" t="s">
        <v>579</v>
      </c>
      <c r="C35" t="str">
        <f>VLOOKUP(A35,Districts!A:I,9,FALSE)</f>
        <v>PIMA COUNTY AMPHITHEATHER SCHOOLS</v>
      </c>
      <c r="D35" t="str">
        <f>VLOOKUP(A35,Districts!A:P,16,FALSE)</f>
        <v>JFQYRDQLNSK1</v>
      </c>
      <c r="F35" s="1">
        <v>45200</v>
      </c>
      <c r="G35" t="s">
        <v>529</v>
      </c>
      <c r="H35" t="s">
        <v>530</v>
      </c>
      <c r="I35" s="59">
        <f>_xlfn.IFNA(VLOOKUP(A35,'619'!D:F,3,FALSE),0)</f>
        <v>74155.61</v>
      </c>
      <c r="J35" s="59">
        <f>_xlfn.IFNA(VLOOKUP(A35,'619'!D:Q,14,FALSE),0)</f>
        <v>74155.61</v>
      </c>
      <c r="K35" s="59">
        <f>_xlfn.IFNA(VLOOKUP(A35,'619'!D:Q,14,FALSE),0)</f>
        <v>74155.61</v>
      </c>
      <c r="O35" t="s">
        <v>531</v>
      </c>
      <c r="P35">
        <f>_xlfn.IFNA(VLOOKUP(A35,IndirectCost!B:L,11,FALSE),"")</f>
        <v>3.69</v>
      </c>
      <c r="Q35">
        <f t="shared" si="0"/>
        <v>3.6900000000000002E-2</v>
      </c>
    </row>
    <row r="36" spans="1:17">
      <c r="A36" t="s">
        <v>580</v>
      </c>
      <c r="B36" t="s">
        <v>581</v>
      </c>
      <c r="C36" t="str">
        <f>VLOOKUP(A36,Districts!A:I,9,FALSE)</f>
        <v>Antelope Union High School District 50</v>
      </c>
      <c r="D36" t="str">
        <f>VLOOKUP(A36,Districts!A:P,16,FALSE)</f>
        <v>EMC9NC16HDD4</v>
      </c>
      <c r="F36" s="1">
        <v>45200</v>
      </c>
      <c r="G36" t="s">
        <v>529</v>
      </c>
      <c r="H36" t="s">
        <v>530</v>
      </c>
      <c r="I36" s="59">
        <f>_xlfn.IFNA(VLOOKUP(A36,'619'!D:F,3,FALSE),0)</f>
        <v>0</v>
      </c>
      <c r="J36" s="59">
        <f>_xlfn.IFNA(VLOOKUP(A36,'619'!D:Q,14,FALSE),0)</f>
        <v>0</v>
      </c>
      <c r="K36" s="59">
        <f>_xlfn.IFNA(VLOOKUP(A36,'619'!D:Q,14,FALSE),0)</f>
        <v>0</v>
      </c>
      <c r="O36" t="s">
        <v>531</v>
      </c>
      <c r="P36" t="str">
        <f>_xlfn.IFNA(VLOOKUP(A36,IndirectCost!B:L,11,FALSE),"")</f>
        <v/>
      </c>
      <c r="Q36">
        <f t="shared" si="0"/>
        <v>0</v>
      </c>
    </row>
    <row r="37" spans="1:17">
      <c r="A37" t="s">
        <v>64</v>
      </c>
      <c r="B37" t="s">
        <v>582</v>
      </c>
      <c r="C37" t="str">
        <f>VLOOKUP(A37,Districts!A:I,9,FALSE)</f>
        <v>Anthem Preparatory Academy</v>
      </c>
      <c r="D37" t="str">
        <f>VLOOKUP(A37,Districts!A:P,16,FALSE)</f>
        <v>GQKDHV2B6NA3</v>
      </c>
      <c r="F37" s="1">
        <v>45200</v>
      </c>
      <c r="G37" t="s">
        <v>529</v>
      </c>
      <c r="H37" t="s">
        <v>530</v>
      </c>
      <c r="I37" s="59">
        <f>_xlfn.IFNA(VLOOKUP(A37,'619'!D:F,3,FALSE),0)</f>
        <v>636.47</v>
      </c>
      <c r="J37" s="59">
        <f>_xlfn.IFNA(VLOOKUP(A37,'619'!D:Q,14,FALSE),0)</f>
        <v>0</v>
      </c>
      <c r="K37" s="59">
        <f>_xlfn.IFNA(VLOOKUP(A37,'619'!D:Q,14,FALSE),0)</f>
        <v>0</v>
      </c>
      <c r="O37" t="s">
        <v>531</v>
      </c>
      <c r="P37">
        <f>_xlfn.IFNA(VLOOKUP(A37,IndirectCost!B:L,11,FALSE),"")</f>
        <v>8</v>
      </c>
      <c r="Q37">
        <f t="shared" si="0"/>
        <v>0.08</v>
      </c>
    </row>
    <row r="38" spans="1:17">
      <c r="A38" t="s">
        <v>583</v>
      </c>
      <c r="B38" t="s">
        <v>584</v>
      </c>
      <c r="C38" t="str">
        <f>VLOOKUP(A38,Districts!A:I,9,FALSE)</f>
        <v>County of Apache</v>
      </c>
      <c r="D38">
        <f>VLOOKUP(A38,Districts!A:P,16,FALSE)</f>
        <v>0</v>
      </c>
      <c r="F38" s="1">
        <v>45200</v>
      </c>
      <c r="G38" t="s">
        <v>529</v>
      </c>
      <c r="H38" t="s">
        <v>530</v>
      </c>
      <c r="I38" s="59">
        <f>_xlfn.IFNA(VLOOKUP(A38,'619'!D:F,3,FALSE),0)</f>
        <v>0</v>
      </c>
      <c r="J38" s="59">
        <f>_xlfn.IFNA(VLOOKUP(A38,'619'!D:Q,14,FALSE),0)</f>
        <v>0</v>
      </c>
      <c r="K38" s="59">
        <f>_xlfn.IFNA(VLOOKUP(A38,'619'!D:Q,14,FALSE),0)</f>
        <v>0</v>
      </c>
      <c r="O38" t="s">
        <v>531</v>
      </c>
      <c r="P38" t="str">
        <f>_xlfn.IFNA(VLOOKUP(A38,IndirectCost!B:L,11,FALSE),"")</f>
        <v/>
      </c>
      <c r="Q38">
        <f t="shared" si="0"/>
        <v>0</v>
      </c>
    </row>
    <row r="39" spans="1:17">
      <c r="A39" t="s">
        <v>65</v>
      </c>
      <c r="B39" t="s">
        <v>585</v>
      </c>
      <c r="C39" t="str">
        <f>VLOOKUP(A39,Districts!A:I,9,FALSE)</f>
        <v>Apache Elementary District</v>
      </c>
      <c r="D39" t="str">
        <f>VLOOKUP(A39,Districts!A:P,16,FALSE)</f>
        <v>Y6RTLK3QWDR5</v>
      </c>
      <c r="F39" s="1">
        <v>45200</v>
      </c>
      <c r="G39" t="s">
        <v>529</v>
      </c>
      <c r="H39" t="s">
        <v>530</v>
      </c>
      <c r="I39" s="59">
        <f>_xlfn.IFNA(VLOOKUP(A39,'619'!D:F,3,FALSE),0)</f>
        <v>694.94</v>
      </c>
      <c r="J39" s="59">
        <f>_xlfn.IFNA(VLOOKUP(A39,'619'!D:Q,14,FALSE),0)</f>
        <v>0</v>
      </c>
      <c r="K39" s="59">
        <f>_xlfn.IFNA(VLOOKUP(A39,'619'!D:Q,14,FALSE),0)</f>
        <v>0</v>
      </c>
      <c r="O39" t="s">
        <v>531</v>
      </c>
      <c r="P39" t="str">
        <f>_xlfn.IFNA(VLOOKUP(A39,IndirectCost!B:L,11,FALSE),"")</f>
        <v/>
      </c>
      <c r="Q39">
        <f t="shared" si="0"/>
        <v>0</v>
      </c>
    </row>
    <row r="40" spans="1:17">
      <c r="A40" t="s">
        <v>66</v>
      </c>
      <c r="B40" t="s">
        <v>586</v>
      </c>
      <c r="C40" t="str">
        <f>VLOOKUP(A40,Districts!A:I,9,FALSE)</f>
        <v>Apache Junction Unified School District 43</v>
      </c>
      <c r="D40" t="str">
        <f>VLOOKUP(A40,Districts!A:P,16,FALSE)</f>
        <v>S615LVJN2L33</v>
      </c>
      <c r="F40" s="1">
        <v>45200</v>
      </c>
      <c r="G40" t="s">
        <v>529</v>
      </c>
      <c r="H40" t="s">
        <v>530</v>
      </c>
      <c r="I40" s="59">
        <f>_xlfn.IFNA(VLOOKUP(A40,'619'!D:F,3,FALSE),0)</f>
        <v>26651.57</v>
      </c>
      <c r="J40" s="59">
        <f>_xlfn.IFNA(VLOOKUP(A40,'619'!D:Q,14,FALSE),0)</f>
        <v>26651.57</v>
      </c>
      <c r="K40" s="59">
        <f>_xlfn.IFNA(VLOOKUP(A40,'619'!D:Q,14,FALSE),0)</f>
        <v>26651.57</v>
      </c>
      <c r="O40" t="s">
        <v>531</v>
      </c>
      <c r="P40">
        <f>_xlfn.IFNA(VLOOKUP(A40,IndirectCost!B:L,11,FALSE),"")</f>
        <v>1.42</v>
      </c>
      <c r="Q40">
        <f t="shared" si="0"/>
        <v>1.4199999999999999E-2</v>
      </c>
    </row>
    <row r="41" spans="1:17">
      <c r="A41" t="s">
        <v>67</v>
      </c>
      <c r="B41" t="s">
        <v>587</v>
      </c>
      <c r="C41" t="str">
        <f>VLOOKUP(A41,Districts!A:I,9,FALSE)</f>
        <v>Aprender Tucson</v>
      </c>
      <c r="D41" t="str">
        <f>VLOOKUP(A41,Districts!A:P,16,FALSE)</f>
        <v>HJXUUQW913T4</v>
      </c>
      <c r="F41" s="1">
        <v>45200</v>
      </c>
      <c r="G41" t="s">
        <v>529</v>
      </c>
      <c r="H41" t="s">
        <v>530</v>
      </c>
      <c r="I41" s="59">
        <f>_xlfn.IFNA(VLOOKUP(A41,'619'!D:F,3,FALSE),0)</f>
        <v>416.31</v>
      </c>
      <c r="J41" s="59">
        <f>_xlfn.IFNA(VLOOKUP(A41,'619'!D:Q,14,FALSE),0)</f>
        <v>0</v>
      </c>
      <c r="K41" s="59">
        <f>_xlfn.IFNA(VLOOKUP(A41,'619'!D:Q,14,FALSE),0)</f>
        <v>0</v>
      </c>
      <c r="O41" t="s">
        <v>531</v>
      </c>
      <c r="P41">
        <f>_xlfn.IFNA(VLOOKUP(A41,IndirectCost!B:L,11,FALSE),"")</f>
        <v>8</v>
      </c>
      <c r="Q41">
        <f t="shared" si="0"/>
        <v>0.08</v>
      </c>
    </row>
    <row r="42" spans="1:17">
      <c r="A42" t="s">
        <v>68</v>
      </c>
      <c r="B42" t="s">
        <v>588</v>
      </c>
      <c r="C42" t="str">
        <f>VLOOKUP(A42,Districts!A:I,9,FALSE)</f>
        <v>ARCHES Academy</v>
      </c>
      <c r="D42" t="str">
        <f>VLOOKUP(A42,Districts!A:P,16,FALSE)</f>
        <v>C7J9H6RF76J3</v>
      </c>
      <c r="F42" s="1">
        <v>45200</v>
      </c>
      <c r="G42" t="s">
        <v>529</v>
      </c>
      <c r="H42" t="s">
        <v>530</v>
      </c>
      <c r="I42" s="59">
        <f>_xlfn.IFNA(VLOOKUP(A42,'619'!D:F,3,FALSE),0)</f>
        <v>424.28</v>
      </c>
      <c r="J42" s="59">
        <f>_xlfn.IFNA(VLOOKUP(A42,'619'!D:Q,14,FALSE),0)</f>
        <v>837.58</v>
      </c>
      <c r="K42" s="59">
        <f>_xlfn.IFNA(VLOOKUP(A42,'619'!D:Q,14,FALSE),0)</f>
        <v>837.58</v>
      </c>
      <c r="O42" t="s">
        <v>531</v>
      </c>
      <c r="P42" t="str">
        <f>_xlfn.IFNA(VLOOKUP(A42,IndirectCost!B:L,11,FALSE),"")</f>
        <v/>
      </c>
      <c r="Q42">
        <f t="shared" si="0"/>
        <v>0</v>
      </c>
    </row>
    <row r="43" spans="1:17">
      <c r="A43" t="s">
        <v>69</v>
      </c>
      <c r="B43" t="s">
        <v>589</v>
      </c>
      <c r="C43" t="str">
        <f>VLOOKUP(A43,Districts!A:I,9,FALSE)</f>
        <v>Archway Classical Academy Arete</v>
      </c>
      <c r="D43" t="str">
        <f>VLOOKUP(A43,Districts!A:P,16,FALSE)</f>
        <v>FLDAUGFLUAN9</v>
      </c>
      <c r="F43" s="1">
        <v>45200</v>
      </c>
      <c r="G43" t="s">
        <v>529</v>
      </c>
      <c r="H43" t="s">
        <v>530</v>
      </c>
      <c r="I43" s="59">
        <f>_xlfn.IFNA(VLOOKUP(A43,'619'!D:F,3,FALSE),0)</f>
        <v>446.93</v>
      </c>
      <c r="J43" s="59">
        <f>_xlfn.IFNA(VLOOKUP(A43,'619'!D:Q,14,FALSE),0)</f>
        <v>0</v>
      </c>
      <c r="K43" s="59">
        <f>_xlfn.IFNA(VLOOKUP(A43,'619'!D:Q,14,FALSE),0)</f>
        <v>0</v>
      </c>
      <c r="O43" t="s">
        <v>531</v>
      </c>
      <c r="P43">
        <f>_xlfn.IFNA(VLOOKUP(A43,IndirectCost!B:L,11,FALSE),"")</f>
        <v>8</v>
      </c>
      <c r="Q43">
        <f t="shared" si="0"/>
        <v>0.08</v>
      </c>
    </row>
    <row r="44" spans="1:17">
      <c r="A44" t="s">
        <v>70</v>
      </c>
      <c r="B44" t="s">
        <v>590</v>
      </c>
      <c r="C44" t="str">
        <f>VLOOKUP(A44,Districts!A:I,9,FALSE)</f>
        <v>Archway Classical Academy Chandler</v>
      </c>
      <c r="D44" t="str">
        <f>VLOOKUP(A44,Districts!A:P,16,FALSE)</f>
        <v>S6V2V5K6STN5</v>
      </c>
      <c r="F44" s="1">
        <v>45200</v>
      </c>
      <c r="G44" t="s">
        <v>529</v>
      </c>
      <c r="H44" t="s">
        <v>530</v>
      </c>
      <c r="I44" s="59">
        <f>_xlfn.IFNA(VLOOKUP(A44,'619'!D:F,3,FALSE),0)</f>
        <v>430.69</v>
      </c>
      <c r="J44" s="59">
        <f>_xlfn.IFNA(VLOOKUP(A44,'619'!D:Q,14,FALSE),0)</f>
        <v>0</v>
      </c>
      <c r="K44" s="59">
        <f>_xlfn.IFNA(VLOOKUP(A44,'619'!D:Q,14,FALSE),0)</f>
        <v>0</v>
      </c>
      <c r="O44" t="s">
        <v>531</v>
      </c>
      <c r="P44">
        <f>_xlfn.IFNA(VLOOKUP(A44,IndirectCost!B:L,11,FALSE),"")</f>
        <v>8</v>
      </c>
      <c r="Q44">
        <f t="shared" si="0"/>
        <v>0.08</v>
      </c>
    </row>
    <row r="45" spans="1:17">
      <c r="A45" t="s">
        <v>71</v>
      </c>
      <c r="B45" t="s">
        <v>591</v>
      </c>
      <c r="C45" t="str">
        <f>VLOOKUP(A45,Districts!A:I,9,FALSE)</f>
        <v>Archway Classical Academy Cicero</v>
      </c>
      <c r="D45" t="str">
        <f>VLOOKUP(A45,Districts!A:P,16,FALSE)</f>
        <v>G3KGKB8NHKW5</v>
      </c>
      <c r="F45" s="1">
        <v>45200</v>
      </c>
      <c r="G45" t="s">
        <v>529</v>
      </c>
      <c r="H45" t="s">
        <v>530</v>
      </c>
      <c r="I45" s="59">
        <f>_xlfn.IFNA(VLOOKUP(A45,'619'!D:F,3,FALSE),0)</f>
        <v>520.37</v>
      </c>
      <c r="J45" s="59">
        <f>_xlfn.IFNA(VLOOKUP(A45,'619'!D:Q,14,FALSE),0)</f>
        <v>0</v>
      </c>
      <c r="K45" s="59">
        <f>_xlfn.IFNA(VLOOKUP(A45,'619'!D:Q,14,FALSE),0)</f>
        <v>0</v>
      </c>
      <c r="O45" t="s">
        <v>531</v>
      </c>
      <c r="P45">
        <f>_xlfn.IFNA(VLOOKUP(A45,IndirectCost!B:L,11,FALSE),"")</f>
        <v>8</v>
      </c>
      <c r="Q45">
        <f t="shared" si="0"/>
        <v>0.08</v>
      </c>
    </row>
    <row r="46" spans="1:17">
      <c r="A46" t="s">
        <v>72</v>
      </c>
      <c r="B46" t="s">
        <v>592</v>
      </c>
      <c r="C46" t="str">
        <f>VLOOKUP(A46,Districts!A:I,9,FALSE)</f>
        <v>Archway Classical Academy Glendale</v>
      </c>
      <c r="D46" t="str">
        <f>VLOOKUP(A46,Districts!A:P,16,FALSE)</f>
        <v>E693MAJ28JV4</v>
      </c>
      <c r="F46" s="1">
        <v>45200</v>
      </c>
      <c r="G46" t="s">
        <v>529</v>
      </c>
      <c r="H46" t="s">
        <v>530</v>
      </c>
      <c r="I46" s="59">
        <f>_xlfn.IFNA(VLOOKUP(A46,'619'!D:F,3,FALSE),0)</f>
        <v>1272.03</v>
      </c>
      <c r="J46" s="59">
        <f>_xlfn.IFNA(VLOOKUP(A46,'619'!D:Q,14,FALSE),0)</f>
        <v>0</v>
      </c>
      <c r="K46" s="59">
        <f>_xlfn.IFNA(VLOOKUP(A46,'619'!D:Q,14,FALSE),0)</f>
        <v>0</v>
      </c>
      <c r="O46" t="s">
        <v>531</v>
      </c>
      <c r="P46">
        <f>_xlfn.IFNA(VLOOKUP(A46,IndirectCost!B:L,11,FALSE),"")</f>
        <v>8</v>
      </c>
      <c r="Q46">
        <f t="shared" si="0"/>
        <v>0.08</v>
      </c>
    </row>
    <row r="47" spans="1:17">
      <c r="A47" t="s">
        <v>73</v>
      </c>
      <c r="B47" t="s">
        <v>593</v>
      </c>
      <c r="C47" t="str">
        <f>VLOOKUP(A47,Districts!A:I,9,FALSE)</f>
        <v>Archway Classical Academy Lincoln</v>
      </c>
      <c r="D47" t="str">
        <f>VLOOKUP(A47,Districts!A:P,16,FALSE)</f>
        <v>C17FH53FMMY8</v>
      </c>
      <c r="F47" s="1">
        <v>45200</v>
      </c>
      <c r="G47" t="s">
        <v>529</v>
      </c>
      <c r="H47" t="s">
        <v>530</v>
      </c>
      <c r="I47" s="59">
        <f>_xlfn.IFNA(VLOOKUP(A47,'619'!D:F,3,FALSE),0)</f>
        <v>731.13</v>
      </c>
      <c r="J47" s="59">
        <f>_xlfn.IFNA(VLOOKUP(A47,'619'!D:Q,14,FALSE),0)</f>
        <v>0</v>
      </c>
      <c r="K47" s="59">
        <f>_xlfn.IFNA(VLOOKUP(A47,'619'!D:Q,14,FALSE),0)</f>
        <v>0</v>
      </c>
      <c r="O47" t="s">
        <v>531</v>
      </c>
      <c r="P47">
        <f>_xlfn.IFNA(VLOOKUP(A47,IndirectCost!B:L,11,FALSE),"")</f>
        <v>8</v>
      </c>
      <c r="Q47">
        <f t="shared" si="0"/>
        <v>0.08</v>
      </c>
    </row>
    <row r="48" spans="1:17">
      <c r="A48" t="s">
        <v>74</v>
      </c>
      <c r="B48" t="s">
        <v>594</v>
      </c>
      <c r="C48" t="str">
        <f>VLOOKUP(A48,Districts!A:I,9,FALSE)</f>
        <v>Archway Classical Academy North Phoenix</v>
      </c>
      <c r="D48" t="str">
        <f>VLOOKUP(A48,Districts!A:P,16,FALSE)</f>
        <v>WUHDK87BNWJ4</v>
      </c>
      <c r="F48" s="1">
        <v>45200</v>
      </c>
      <c r="G48" t="s">
        <v>529</v>
      </c>
      <c r="H48" t="s">
        <v>530</v>
      </c>
      <c r="I48" s="59">
        <f>_xlfn.IFNA(VLOOKUP(A48,'619'!D:F,3,FALSE),0)</f>
        <v>869.38</v>
      </c>
      <c r="J48" s="59">
        <f>_xlfn.IFNA(VLOOKUP(A48,'619'!D:Q,14,FALSE),0)</f>
        <v>0</v>
      </c>
      <c r="K48" s="59">
        <f>_xlfn.IFNA(VLOOKUP(A48,'619'!D:Q,14,FALSE),0)</f>
        <v>0</v>
      </c>
      <c r="O48" t="s">
        <v>531</v>
      </c>
      <c r="P48">
        <f>_xlfn.IFNA(VLOOKUP(A48,IndirectCost!B:L,11,FALSE),"")</f>
        <v>8</v>
      </c>
      <c r="Q48">
        <f t="shared" si="0"/>
        <v>0.08</v>
      </c>
    </row>
    <row r="49" spans="1:17">
      <c r="A49" t="s">
        <v>75</v>
      </c>
      <c r="B49" t="s">
        <v>595</v>
      </c>
      <c r="C49" t="str">
        <f>VLOOKUP(A49,Districts!A:I,9,FALSE)</f>
        <v>Archway Classical Academy Scottsdale</v>
      </c>
      <c r="D49" t="str">
        <f>VLOOKUP(A49,Districts!A:P,16,FALSE)</f>
        <v>GFJABTFHG8Q8</v>
      </c>
      <c r="F49" s="1">
        <v>45200</v>
      </c>
      <c r="G49" t="s">
        <v>529</v>
      </c>
      <c r="H49" t="s">
        <v>530</v>
      </c>
      <c r="I49" s="59">
        <f>_xlfn.IFNA(VLOOKUP(A49,'619'!D:F,3,FALSE),0)</f>
        <v>746.95</v>
      </c>
      <c r="J49" s="59">
        <f>_xlfn.IFNA(VLOOKUP(A49,'619'!D:Q,14,FALSE),0)</f>
        <v>0</v>
      </c>
      <c r="K49" s="59">
        <f>_xlfn.IFNA(VLOOKUP(A49,'619'!D:Q,14,FALSE),0)</f>
        <v>0</v>
      </c>
      <c r="O49" t="s">
        <v>531</v>
      </c>
      <c r="P49">
        <f>_xlfn.IFNA(VLOOKUP(A49,IndirectCost!B:L,11,FALSE),"")</f>
        <v>8</v>
      </c>
      <c r="Q49">
        <f t="shared" si="0"/>
        <v>0.08</v>
      </c>
    </row>
    <row r="50" spans="1:17">
      <c r="A50" t="s">
        <v>76</v>
      </c>
      <c r="B50" t="s">
        <v>596</v>
      </c>
      <c r="C50" t="str">
        <f>VLOOKUP(A50,Districts!A:I,9,FALSE)</f>
        <v>Archway Classical Academy Trivium West</v>
      </c>
      <c r="D50" t="str">
        <f>VLOOKUP(A50,Districts!A:P,16,FALSE)</f>
        <v>G7VKT6GD8PF8</v>
      </c>
      <c r="F50" s="1">
        <v>45200</v>
      </c>
      <c r="G50" t="s">
        <v>529</v>
      </c>
      <c r="H50" t="s">
        <v>530</v>
      </c>
      <c r="I50" s="59">
        <f>_xlfn.IFNA(VLOOKUP(A50,'619'!D:F,3,FALSE),0)</f>
        <v>109.53</v>
      </c>
      <c r="J50" s="59">
        <f>_xlfn.IFNA(VLOOKUP(A50,'619'!D:Q,14,FALSE),0)</f>
        <v>0</v>
      </c>
      <c r="K50" s="59">
        <f>_xlfn.IFNA(VLOOKUP(A50,'619'!D:Q,14,FALSE),0)</f>
        <v>0</v>
      </c>
      <c r="O50" t="s">
        <v>531</v>
      </c>
      <c r="P50" t="str">
        <f>_xlfn.IFNA(VLOOKUP(A50,IndirectCost!B:L,11,FALSE),"")</f>
        <v/>
      </c>
      <c r="Q50">
        <f t="shared" si="0"/>
        <v>0</v>
      </c>
    </row>
    <row r="51" spans="1:17">
      <c r="A51" t="s">
        <v>77</v>
      </c>
      <c r="B51" t="s">
        <v>596</v>
      </c>
      <c r="C51" t="str">
        <f>VLOOKUP(A51,Districts!A:I,9,FALSE)</f>
        <v>Archway Classical Academy Trivium West</v>
      </c>
      <c r="D51" t="str">
        <f>VLOOKUP(A51,Districts!A:P,16,FALSE)</f>
        <v>G7VKT6GD8PF8</v>
      </c>
      <c r="F51" s="1">
        <v>45200</v>
      </c>
      <c r="G51" t="s">
        <v>529</v>
      </c>
      <c r="H51" t="s">
        <v>530</v>
      </c>
      <c r="I51" s="59">
        <f>_xlfn.IFNA(VLOOKUP(A51,'619'!D:F,3,FALSE),0)</f>
        <v>528.94000000000005</v>
      </c>
      <c r="J51" s="59">
        <f>_xlfn.IFNA(VLOOKUP(A51,'619'!D:Q,14,FALSE),0)</f>
        <v>0</v>
      </c>
      <c r="K51" s="59">
        <f>_xlfn.IFNA(VLOOKUP(A51,'619'!D:Q,14,FALSE),0)</f>
        <v>0</v>
      </c>
      <c r="O51" t="s">
        <v>531</v>
      </c>
      <c r="P51">
        <f>_xlfn.IFNA(VLOOKUP(A51,IndirectCost!B:L,11,FALSE),"")</f>
        <v>8</v>
      </c>
      <c r="Q51">
        <f t="shared" si="0"/>
        <v>0.08</v>
      </c>
    </row>
    <row r="52" spans="1:17">
      <c r="A52" t="s">
        <v>78</v>
      </c>
      <c r="B52" t="s">
        <v>597</v>
      </c>
      <c r="C52" t="str">
        <f>VLOOKUP(A52,Districts!A:I,9,FALSE)</f>
        <v>Archway Classical Academy Veritas</v>
      </c>
      <c r="D52" t="str">
        <f>VLOOKUP(A52,Districts!A:P,16,FALSE)</f>
        <v>C9MJCQ1MZU29</v>
      </c>
      <c r="F52" s="1">
        <v>45200</v>
      </c>
      <c r="G52" t="s">
        <v>529</v>
      </c>
      <c r="H52" t="s">
        <v>530</v>
      </c>
      <c r="I52" s="59">
        <f>_xlfn.IFNA(VLOOKUP(A52,'619'!D:F,3,FALSE),0)</f>
        <v>797.06</v>
      </c>
      <c r="J52" s="59">
        <f>_xlfn.IFNA(VLOOKUP(A52,'619'!D:Q,14,FALSE),0)</f>
        <v>0</v>
      </c>
      <c r="K52" s="59">
        <f>_xlfn.IFNA(VLOOKUP(A52,'619'!D:Q,14,FALSE),0)</f>
        <v>0</v>
      </c>
      <c r="O52" t="s">
        <v>531</v>
      </c>
      <c r="P52">
        <f>_xlfn.IFNA(VLOOKUP(A52,IndirectCost!B:L,11,FALSE),"")</f>
        <v>8</v>
      </c>
      <c r="Q52">
        <f t="shared" si="0"/>
        <v>0.08</v>
      </c>
    </row>
    <row r="53" spans="1:17">
      <c r="A53" t="s">
        <v>598</v>
      </c>
      <c r="B53" t="s">
        <v>599</v>
      </c>
      <c r="C53" t="str">
        <f>VLOOKUP(A53,Districts!A:I,9,FALSE)</f>
        <v>Arete Preparatory Academy</v>
      </c>
      <c r="D53" t="str">
        <f>VLOOKUP(A53,Districts!A:P,16,FALSE)</f>
        <v>LYM3LMDX19F7</v>
      </c>
      <c r="F53" s="1">
        <v>45200</v>
      </c>
      <c r="G53" t="s">
        <v>529</v>
      </c>
      <c r="H53" t="s">
        <v>530</v>
      </c>
      <c r="I53" s="59">
        <f>_xlfn.IFNA(VLOOKUP(A53,'619'!D:F,3,FALSE),0)</f>
        <v>0</v>
      </c>
      <c r="J53" s="59">
        <f>_xlfn.IFNA(VLOOKUP(A53,'619'!D:Q,14,FALSE),0)</f>
        <v>0</v>
      </c>
      <c r="K53" s="59">
        <f>_xlfn.IFNA(VLOOKUP(A53,'619'!D:Q,14,FALSE),0)</f>
        <v>0</v>
      </c>
      <c r="O53" t="s">
        <v>531</v>
      </c>
      <c r="P53">
        <f>_xlfn.IFNA(VLOOKUP(A53,IndirectCost!B:L,11,FALSE),"")</f>
        <v>8</v>
      </c>
      <c r="Q53">
        <f t="shared" si="0"/>
        <v>0.08</v>
      </c>
    </row>
    <row r="54" spans="1:17">
      <c r="A54" t="s">
        <v>600</v>
      </c>
      <c r="B54" t="s">
        <v>601</v>
      </c>
      <c r="C54" t="str">
        <f>VLOOKUP(A54,Districts!A:I,9,FALSE)</f>
        <v>Arizona Agribusiness &amp; Equine Center, INC.</v>
      </c>
      <c r="D54" t="str">
        <f>VLOOKUP(A54,Districts!A:P,16,FALSE)</f>
        <v>RG6JEQ7G6RZ8</v>
      </c>
      <c r="F54" s="1">
        <v>45200</v>
      </c>
      <c r="G54" t="s">
        <v>529</v>
      </c>
      <c r="H54" t="s">
        <v>530</v>
      </c>
      <c r="I54" s="59">
        <f>_xlfn.IFNA(VLOOKUP(A54,'619'!D:F,3,FALSE),0)</f>
        <v>0</v>
      </c>
      <c r="J54" s="59">
        <f>_xlfn.IFNA(VLOOKUP(A54,'619'!D:Q,14,FALSE),0)</f>
        <v>0</v>
      </c>
      <c r="K54" s="59">
        <f>_xlfn.IFNA(VLOOKUP(A54,'619'!D:Q,14,FALSE),0)</f>
        <v>0</v>
      </c>
      <c r="O54" t="s">
        <v>531</v>
      </c>
      <c r="P54" t="str">
        <f>_xlfn.IFNA(VLOOKUP(A54,IndirectCost!B:L,11,FALSE),"")</f>
        <v/>
      </c>
      <c r="Q54">
        <f t="shared" si="0"/>
        <v>0</v>
      </c>
    </row>
    <row r="55" spans="1:17">
      <c r="A55" t="s">
        <v>602</v>
      </c>
      <c r="B55" t="s">
        <v>603</v>
      </c>
      <c r="C55" t="str">
        <f>VLOOKUP(A55,Districts!A:I,9,FALSE)</f>
        <v>Arizona Agribusiness &amp; Equine Center, INC.</v>
      </c>
      <c r="D55" t="str">
        <f>VLOOKUP(A55,Districts!A:P,16,FALSE)</f>
        <v>RG6JEQ7G6RZ8</v>
      </c>
      <c r="F55" s="1">
        <v>45200</v>
      </c>
      <c r="G55" t="s">
        <v>529</v>
      </c>
      <c r="H55" t="s">
        <v>530</v>
      </c>
      <c r="I55" s="59">
        <f>_xlfn.IFNA(VLOOKUP(A55,'619'!D:F,3,FALSE),0)</f>
        <v>0</v>
      </c>
      <c r="J55" s="59">
        <f>_xlfn.IFNA(VLOOKUP(A55,'619'!D:Q,14,FALSE),0)</f>
        <v>0</v>
      </c>
      <c r="K55" s="59">
        <f>_xlfn.IFNA(VLOOKUP(A55,'619'!D:Q,14,FALSE),0)</f>
        <v>0</v>
      </c>
      <c r="O55" t="s">
        <v>531</v>
      </c>
      <c r="P55" t="str">
        <f>_xlfn.IFNA(VLOOKUP(A55,IndirectCost!B:L,11,FALSE),"")</f>
        <v/>
      </c>
      <c r="Q55">
        <f t="shared" si="0"/>
        <v>0</v>
      </c>
    </row>
    <row r="56" spans="1:17">
      <c r="A56" t="s">
        <v>604</v>
      </c>
      <c r="B56" t="s">
        <v>603</v>
      </c>
      <c r="C56" t="str">
        <f>VLOOKUP(A56,Districts!A:I,9,FALSE)</f>
        <v>Arizona Agribusiness &amp; Equine Center, INC.</v>
      </c>
      <c r="D56" t="str">
        <f>VLOOKUP(A56,Districts!A:P,16,FALSE)</f>
        <v>RG6JEQ7G6RZ8</v>
      </c>
      <c r="F56" s="1">
        <v>45200</v>
      </c>
      <c r="G56" t="s">
        <v>529</v>
      </c>
      <c r="H56" t="s">
        <v>530</v>
      </c>
      <c r="I56" s="59">
        <f>_xlfn.IFNA(VLOOKUP(A56,'619'!D:F,3,FALSE),0)</f>
        <v>0</v>
      </c>
      <c r="J56" s="59">
        <f>_xlfn.IFNA(VLOOKUP(A56,'619'!D:Q,14,FALSE),0)</f>
        <v>0</v>
      </c>
      <c r="K56" s="59">
        <f>_xlfn.IFNA(VLOOKUP(A56,'619'!D:Q,14,FALSE),0)</f>
        <v>0</v>
      </c>
      <c r="O56" t="s">
        <v>531</v>
      </c>
      <c r="P56" t="str">
        <f>_xlfn.IFNA(VLOOKUP(A56,IndirectCost!B:L,11,FALSE),"")</f>
        <v/>
      </c>
      <c r="Q56">
        <f t="shared" si="0"/>
        <v>0</v>
      </c>
    </row>
    <row r="57" spans="1:17">
      <c r="A57" t="s">
        <v>605</v>
      </c>
      <c r="B57" t="s">
        <v>603</v>
      </c>
      <c r="C57" t="str">
        <f>VLOOKUP(A57,Districts!A:I,9,FALSE)</f>
        <v>Arizona Agribusiness &amp; Equine Center, INC.</v>
      </c>
      <c r="D57" t="str">
        <f>VLOOKUP(A57,Districts!A:P,16,FALSE)</f>
        <v>RG6JEQ7G6RZ8</v>
      </c>
      <c r="F57" s="1">
        <v>45200</v>
      </c>
      <c r="G57" t="s">
        <v>529</v>
      </c>
      <c r="H57" t="s">
        <v>530</v>
      </c>
      <c r="I57" s="59">
        <f>_xlfn.IFNA(VLOOKUP(A57,'619'!D:F,3,FALSE),0)</f>
        <v>0</v>
      </c>
      <c r="J57" s="59">
        <f>_xlfn.IFNA(VLOOKUP(A57,'619'!D:Q,14,FALSE),0)</f>
        <v>0</v>
      </c>
      <c r="K57" s="59">
        <f>_xlfn.IFNA(VLOOKUP(A57,'619'!D:Q,14,FALSE),0)</f>
        <v>0</v>
      </c>
      <c r="O57" t="s">
        <v>531</v>
      </c>
      <c r="P57" t="str">
        <f>_xlfn.IFNA(VLOOKUP(A57,IndirectCost!B:L,11,FALSE),"")</f>
        <v/>
      </c>
      <c r="Q57">
        <f t="shared" si="0"/>
        <v>0</v>
      </c>
    </row>
    <row r="58" spans="1:17">
      <c r="A58" t="s">
        <v>606</v>
      </c>
      <c r="B58" t="s">
        <v>603</v>
      </c>
      <c r="C58" t="str">
        <f>VLOOKUP(A58,Districts!A:I,9,FALSE)</f>
        <v>Arizona Agribusiness &amp; Equine Center, INC.</v>
      </c>
      <c r="D58" t="str">
        <f>VLOOKUP(A58,Districts!A:P,16,FALSE)</f>
        <v>RG6JEQ7G6RZ8</v>
      </c>
      <c r="F58" s="1">
        <v>45200</v>
      </c>
      <c r="G58" t="s">
        <v>529</v>
      </c>
      <c r="H58" t="s">
        <v>530</v>
      </c>
      <c r="I58" s="59">
        <f>_xlfn.IFNA(VLOOKUP(A58,'619'!D:F,3,FALSE),0)</f>
        <v>0</v>
      </c>
      <c r="J58" s="59">
        <f>_xlfn.IFNA(VLOOKUP(A58,'619'!D:Q,14,FALSE),0)</f>
        <v>0</v>
      </c>
      <c r="K58" s="59">
        <f>_xlfn.IFNA(VLOOKUP(A58,'619'!D:Q,14,FALSE),0)</f>
        <v>0</v>
      </c>
      <c r="O58" t="s">
        <v>531</v>
      </c>
      <c r="P58" t="str">
        <f>_xlfn.IFNA(VLOOKUP(A58,IndirectCost!B:L,11,FALSE),"")</f>
        <v/>
      </c>
      <c r="Q58">
        <f t="shared" si="0"/>
        <v>0</v>
      </c>
    </row>
    <row r="59" spans="1:17">
      <c r="A59" t="s">
        <v>79</v>
      </c>
      <c r="B59" t="s">
        <v>607</v>
      </c>
      <c r="C59" t="str">
        <f>VLOOKUP(A59,Districts!A:I,9,FALSE)</f>
        <v>Arizona Autism Charter Schools, Inc.</v>
      </c>
      <c r="D59" t="str">
        <f>VLOOKUP(A59,Districts!A:P,16,FALSE)</f>
        <v>KYEREMYKVBV1</v>
      </c>
      <c r="F59" s="1">
        <v>45200</v>
      </c>
      <c r="G59" t="s">
        <v>529</v>
      </c>
      <c r="H59" t="s">
        <v>530</v>
      </c>
      <c r="I59" s="59">
        <f>_xlfn.IFNA(VLOOKUP(A59,'619'!D:F,3,FALSE),0)</f>
        <v>4769.1000000000004</v>
      </c>
      <c r="J59" s="59">
        <f>_xlfn.IFNA(VLOOKUP(A59,'619'!D:Q,14,FALSE),0)</f>
        <v>4769.1000000000004</v>
      </c>
      <c r="K59" s="59">
        <f>_xlfn.IFNA(VLOOKUP(A59,'619'!D:Q,14,FALSE),0)</f>
        <v>4769.1000000000004</v>
      </c>
      <c r="O59" t="s">
        <v>531</v>
      </c>
      <c r="P59">
        <f>_xlfn.IFNA(VLOOKUP(A59,IndirectCost!B:L,11,FALSE),"")</f>
        <v>0</v>
      </c>
      <c r="Q59">
        <f t="shared" si="0"/>
        <v>0</v>
      </c>
    </row>
    <row r="60" spans="1:17">
      <c r="A60" t="s">
        <v>608</v>
      </c>
      <c r="B60" t="s">
        <v>609</v>
      </c>
      <c r="C60" t="str">
        <f>VLOOKUP(A60,Districts!A:I,9,FALSE)</f>
        <v>Arizona Call-A-Teen Youth Resources, Inc.</v>
      </c>
      <c r="D60" t="str">
        <f>VLOOKUP(A60,Districts!A:P,16,FALSE)</f>
        <v>H52XHJVLB193</v>
      </c>
      <c r="F60" s="1">
        <v>45200</v>
      </c>
      <c r="G60" t="s">
        <v>529</v>
      </c>
      <c r="H60" t="s">
        <v>530</v>
      </c>
      <c r="I60" s="59">
        <f>_xlfn.IFNA(VLOOKUP(A60,'619'!D:F,3,FALSE),0)</f>
        <v>0</v>
      </c>
      <c r="J60" s="59">
        <f>_xlfn.IFNA(VLOOKUP(A60,'619'!D:Q,14,FALSE),0)</f>
        <v>0</v>
      </c>
      <c r="K60" s="59">
        <f>_xlfn.IFNA(VLOOKUP(A60,'619'!D:Q,14,FALSE),0)</f>
        <v>0</v>
      </c>
      <c r="O60" t="s">
        <v>531</v>
      </c>
      <c r="P60" t="str">
        <f>_xlfn.IFNA(VLOOKUP(A60,IndirectCost!B:L,11,FALSE),"")</f>
        <v/>
      </c>
      <c r="Q60">
        <f t="shared" si="0"/>
        <v>0</v>
      </c>
    </row>
    <row r="61" spans="1:17">
      <c r="A61" t="s">
        <v>80</v>
      </c>
      <c r="B61" t="s">
        <v>610</v>
      </c>
      <c r="C61" t="str">
        <f>VLOOKUP(A61,Districts!A:I,9,FALSE)</f>
        <v>Arizona Collaborative Learning Partners, Inc.</v>
      </c>
      <c r="D61">
        <f>VLOOKUP(A61,Districts!A:P,16,FALSE)</f>
        <v>0</v>
      </c>
      <c r="F61" s="1">
        <v>45200</v>
      </c>
      <c r="G61" t="s">
        <v>529</v>
      </c>
      <c r="H61" t="s">
        <v>530</v>
      </c>
      <c r="I61" s="59">
        <f>_xlfn.IFNA(VLOOKUP(A61,'619'!D:F,3,FALSE),0)</f>
        <v>283.5</v>
      </c>
      <c r="J61" s="59">
        <f>_xlfn.IFNA(VLOOKUP(A61,'619'!D:Q,14,FALSE),0)</f>
        <v>283.5</v>
      </c>
      <c r="K61" s="59">
        <f>_xlfn.IFNA(VLOOKUP(A61,'619'!D:Q,14,FALSE),0)</f>
        <v>283.5</v>
      </c>
      <c r="O61" t="s">
        <v>531</v>
      </c>
      <c r="P61" t="str">
        <f>_xlfn.IFNA(VLOOKUP(A61,IndirectCost!B:L,11,FALSE),"")</f>
        <v/>
      </c>
      <c r="Q61">
        <f t="shared" si="0"/>
        <v>0</v>
      </c>
    </row>
    <row r="62" spans="1:17">
      <c r="A62" t="s">
        <v>81</v>
      </c>
      <c r="B62" t="s">
        <v>611</v>
      </c>
      <c r="C62" t="str">
        <f>VLOOKUP(A62,Districts!A:I,9,FALSE)</f>
        <v>ARIZONA COMMUNITY DEVELOPMENT</v>
      </c>
      <c r="D62" t="str">
        <f>VLOOKUP(A62,Districts!A:P,16,FALSE)</f>
        <v>C439P7N3NLH4</v>
      </c>
      <c r="F62" s="1">
        <v>45200</v>
      </c>
      <c r="G62" t="s">
        <v>529</v>
      </c>
      <c r="H62" t="s">
        <v>530</v>
      </c>
      <c r="I62" s="59">
        <f>_xlfn.IFNA(VLOOKUP(A62,'619'!D:F,3,FALSE),0)</f>
        <v>2495.8000000000002</v>
      </c>
      <c r="J62" s="59">
        <f>_xlfn.IFNA(VLOOKUP(A62,'619'!D:Q,14,FALSE),0)</f>
        <v>2495.8000000000002</v>
      </c>
      <c r="K62" s="59">
        <f>_xlfn.IFNA(VLOOKUP(A62,'619'!D:Q,14,FALSE),0)</f>
        <v>2495.8000000000002</v>
      </c>
      <c r="O62" t="s">
        <v>531</v>
      </c>
      <c r="P62" t="str">
        <f>_xlfn.IFNA(VLOOKUP(A62,IndirectCost!B:L,11,FALSE),"")</f>
        <v/>
      </c>
      <c r="Q62">
        <f t="shared" si="0"/>
        <v>0</v>
      </c>
    </row>
    <row r="63" spans="1:17">
      <c r="A63" t="s">
        <v>82</v>
      </c>
      <c r="B63" t="s">
        <v>612</v>
      </c>
      <c r="C63" t="str">
        <f>VLOOKUP(A63,Districts!A:I,9,FALSE)</f>
        <v>ARIZONA CONNECTIONS ACADEMY CHARTER SCHOOL</v>
      </c>
      <c r="D63" t="str">
        <f>VLOOKUP(A63,Districts!A:P,16,FALSE)</f>
        <v>PJ8BGN3SWZX5</v>
      </c>
      <c r="F63" s="1">
        <v>45200</v>
      </c>
      <c r="G63" t="s">
        <v>529</v>
      </c>
      <c r="H63" t="s">
        <v>530</v>
      </c>
      <c r="I63" s="59">
        <f>_xlfn.IFNA(VLOOKUP(A63,'619'!D:F,3,FALSE),0)</f>
        <v>2356.06</v>
      </c>
      <c r="J63" s="59">
        <f>_xlfn.IFNA(VLOOKUP(A63,'619'!D:Q,14,FALSE),0)</f>
        <v>2356.06</v>
      </c>
      <c r="K63" s="59">
        <f>_xlfn.IFNA(VLOOKUP(A63,'619'!D:Q,14,FALSE),0)</f>
        <v>2356.06</v>
      </c>
      <c r="O63" t="s">
        <v>531</v>
      </c>
      <c r="P63" t="str">
        <f>_xlfn.IFNA(VLOOKUP(A63,IndirectCost!B:L,11,FALSE),"")</f>
        <v/>
      </c>
      <c r="Q63">
        <f t="shared" si="0"/>
        <v>0</v>
      </c>
    </row>
    <row r="64" spans="1:17">
      <c r="A64" t="s">
        <v>613</v>
      </c>
      <c r="B64" t="s">
        <v>614</v>
      </c>
      <c r="C64" t="str">
        <f>VLOOKUP(A64,Districts!A:I,9,FALSE)</f>
        <v>State Of Arizona-Dept Of Arizona Depart Of Corrections</v>
      </c>
      <c r="D64" t="str">
        <f>VLOOKUP(A64,Districts!A:P,16,FALSE)</f>
        <v>WZBTSTM7NG64</v>
      </c>
      <c r="F64" s="1">
        <v>45200</v>
      </c>
      <c r="G64" t="s">
        <v>529</v>
      </c>
      <c r="H64" t="s">
        <v>530</v>
      </c>
      <c r="I64" s="59">
        <f>_xlfn.IFNA(VLOOKUP(A64,'619'!D:F,3,FALSE),0)</f>
        <v>0</v>
      </c>
      <c r="J64" s="59">
        <f>_xlfn.IFNA(VLOOKUP(A64,'619'!D:Q,14,FALSE),0)</f>
        <v>0</v>
      </c>
      <c r="K64" s="59">
        <f>_xlfn.IFNA(VLOOKUP(A64,'619'!D:Q,14,FALSE),0)</f>
        <v>0</v>
      </c>
      <c r="O64" t="s">
        <v>531</v>
      </c>
      <c r="P64">
        <f>_xlfn.IFNA(VLOOKUP(A64,IndirectCost!B:L,11,FALSE),"")</f>
        <v>0</v>
      </c>
      <c r="Q64">
        <f t="shared" si="0"/>
        <v>0</v>
      </c>
    </row>
    <row r="65" spans="1:17">
      <c r="A65" t="s">
        <v>615</v>
      </c>
      <c r="B65" t="s">
        <v>616</v>
      </c>
      <c r="C65" t="str">
        <f>VLOOKUP(A65,Districts!A:I,9,FALSE)</f>
        <v>Arizona Department of Education</v>
      </c>
      <c r="D65">
        <f>VLOOKUP(A65,Districts!A:P,16,FALSE)</f>
        <v>0</v>
      </c>
      <c r="F65" s="1">
        <v>45200</v>
      </c>
      <c r="G65" t="s">
        <v>529</v>
      </c>
      <c r="H65" t="s">
        <v>530</v>
      </c>
      <c r="I65" s="59">
        <f>_xlfn.IFNA(VLOOKUP(A65,'619'!D:F,3,FALSE),0)</f>
        <v>0</v>
      </c>
      <c r="J65" s="59">
        <f>_xlfn.IFNA(VLOOKUP(A65,'619'!D:Q,14,FALSE),0)</f>
        <v>0</v>
      </c>
      <c r="K65" s="59">
        <f>_xlfn.IFNA(VLOOKUP(A65,'619'!D:Q,14,FALSE),0)</f>
        <v>0</v>
      </c>
      <c r="O65" t="s">
        <v>531</v>
      </c>
      <c r="P65" t="str">
        <f>_xlfn.IFNA(VLOOKUP(A65,IndirectCost!B:L,11,FALSE),"")</f>
        <v/>
      </c>
      <c r="Q65">
        <f t="shared" si="0"/>
        <v>0</v>
      </c>
    </row>
    <row r="66" spans="1:17">
      <c r="A66" t="s">
        <v>83</v>
      </c>
      <c r="B66" t="s">
        <v>617</v>
      </c>
      <c r="C66" t="str">
        <f>VLOOKUP(A66,Districts!A:I,9,FALSE)</f>
        <v>Arizona Education Solutions</v>
      </c>
      <c r="D66" t="str">
        <f>VLOOKUP(A66,Districts!A:P,16,FALSE)</f>
        <v>YCH3YXL4TXY7</v>
      </c>
      <c r="F66" s="1">
        <v>45200</v>
      </c>
      <c r="G66" t="s">
        <v>529</v>
      </c>
      <c r="H66" t="s">
        <v>530</v>
      </c>
      <c r="I66" s="59">
        <f>_xlfn.IFNA(VLOOKUP(A66,'619'!D:F,3,FALSE),0)</f>
        <v>516.48</v>
      </c>
      <c r="J66" s="59">
        <f>_xlfn.IFNA(VLOOKUP(A66,'619'!D:Q,14,FALSE),0)</f>
        <v>0</v>
      </c>
      <c r="K66" s="59">
        <f>_xlfn.IFNA(VLOOKUP(A66,'619'!D:Q,14,FALSE),0)</f>
        <v>0</v>
      </c>
      <c r="O66" t="s">
        <v>531</v>
      </c>
      <c r="P66">
        <f>_xlfn.IFNA(VLOOKUP(A66,IndirectCost!B:L,11,FALSE),"")</f>
        <v>8</v>
      </c>
      <c r="Q66">
        <f t="shared" si="0"/>
        <v>0.08</v>
      </c>
    </row>
    <row r="67" spans="1:17">
      <c r="A67" t="s">
        <v>618</v>
      </c>
      <c r="B67" t="s">
        <v>619</v>
      </c>
      <c r="C67">
        <f>VLOOKUP(A67,Districts!A:I,9,FALSE)</f>
        <v>0</v>
      </c>
      <c r="D67">
        <f>VLOOKUP(A67,Districts!A:P,16,FALSE)</f>
        <v>0</v>
      </c>
      <c r="F67" s="1">
        <v>45200</v>
      </c>
      <c r="G67" t="s">
        <v>529</v>
      </c>
      <c r="H67" t="s">
        <v>530</v>
      </c>
      <c r="I67" s="59">
        <f>_xlfn.IFNA(VLOOKUP(A67,'619'!D:F,3,FALSE),0)</f>
        <v>0</v>
      </c>
      <c r="J67" s="59">
        <f>_xlfn.IFNA(VLOOKUP(A67,'619'!D:Q,14,FALSE),0)</f>
        <v>0</v>
      </c>
      <c r="K67" s="59">
        <f>_xlfn.IFNA(VLOOKUP(A67,'619'!D:Q,14,FALSE),0)</f>
        <v>0</v>
      </c>
      <c r="O67" t="s">
        <v>531</v>
      </c>
      <c r="P67" t="str">
        <f>_xlfn.IFNA(VLOOKUP(A67,IndirectCost!B:L,11,FALSE),"")</f>
        <v/>
      </c>
      <c r="Q67">
        <f t="shared" si="0"/>
        <v>0</v>
      </c>
    </row>
    <row r="68" spans="1:17">
      <c r="A68" t="s">
        <v>84</v>
      </c>
      <c r="B68" t="s">
        <v>620</v>
      </c>
      <c r="C68" t="str">
        <f>VLOOKUP(A68,Districts!A:I,9,FALSE)</f>
        <v>Arizona Language Preparatory</v>
      </c>
      <c r="D68" t="str">
        <f>VLOOKUP(A68,Districts!A:P,16,FALSE)</f>
        <v>MXLBDCMLRLT7</v>
      </c>
      <c r="F68" s="1">
        <v>45200</v>
      </c>
      <c r="G68" t="s">
        <v>529</v>
      </c>
      <c r="H68" t="s">
        <v>530</v>
      </c>
      <c r="I68" s="59">
        <f>_xlfn.IFNA(VLOOKUP(A68,'619'!D:F,3,FALSE),0)</f>
        <v>57.41</v>
      </c>
      <c r="J68" s="59">
        <f>_xlfn.IFNA(VLOOKUP(A68,'619'!D:Q,14,FALSE),0)</f>
        <v>57.41</v>
      </c>
      <c r="K68" s="59">
        <f>_xlfn.IFNA(VLOOKUP(A68,'619'!D:Q,14,FALSE),0)</f>
        <v>57.41</v>
      </c>
      <c r="O68" t="s">
        <v>531</v>
      </c>
      <c r="P68" t="str">
        <f>_xlfn.IFNA(VLOOKUP(A68,IndirectCost!B:L,11,FALSE),"")</f>
        <v/>
      </c>
      <c r="Q68">
        <f t="shared" ref="Q68:Q131" si="1">IFERROR(P68/100,0)</f>
        <v>0</v>
      </c>
    </row>
    <row r="69" spans="1:17">
      <c r="A69" t="s">
        <v>85</v>
      </c>
      <c r="B69" t="s">
        <v>621</v>
      </c>
      <c r="C69" t="str">
        <f>VLOOKUP(A69,Districts!A:I,9,FALSE)</f>
        <v>Arizona Language Schools</v>
      </c>
      <c r="D69" t="str">
        <f>VLOOKUP(A69,Districts!A:P,16,FALSE)</f>
        <v>LR2NFC4ENQF6</v>
      </c>
      <c r="F69" s="1">
        <v>45200</v>
      </c>
      <c r="G69" t="s">
        <v>529</v>
      </c>
      <c r="H69" t="s">
        <v>530</v>
      </c>
      <c r="I69" s="59">
        <f>_xlfn.IFNA(VLOOKUP(A69,'619'!D:F,3,FALSE),0)</f>
        <v>17.989999999999998</v>
      </c>
      <c r="J69" s="59">
        <f>_xlfn.IFNA(VLOOKUP(A69,'619'!D:Q,14,FALSE),0)</f>
        <v>0</v>
      </c>
      <c r="K69" s="59">
        <f>_xlfn.IFNA(VLOOKUP(A69,'619'!D:Q,14,FALSE),0)</f>
        <v>0</v>
      </c>
      <c r="O69" t="s">
        <v>531</v>
      </c>
      <c r="P69">
        <f>_xlfn.IFNA(VLOOKUP(A69,IndirectCost!B:L,11,FALSE),"")</f>
        <v>8</v>
      </c>
      <c r="Q69">
        <f t="shared" si="1"/>
        <v>0.08</v>
      </c>
    </row>
    <row r="70" spans="1:17">
      <c r="A70" t="s">
        <v>622</v>
      </c>
      <c r="B70" t="s">
        <v>623</v>
      </c>
      <c r="C70" t="str">
        <f>VLOOKUP(A70,Districts!A:I,9,FALSE)</f>
        <v>Arizona School For the Arts</v>
      </c>
      <c r="D70" t="str">
        <f>VLOOKUP(A70,Districts!A:P,16,FALSE)</f>
        <v>FQ22B4EAL8F3</v>
      </c>
      <c r="F70" s="1">
        <v>45200</v>
      </c>
      <c r="G70" t="s">
        <v>529</v>
      </c>
      <c r="H70" t="s">
        <v>530</v>
      </c>
      <c r="I70" s="59">
        <f>_xlfn.IFNA(VLOOKUP(A70,'619'!D:F,3,FALSE),0)</f>
        <v>0</v>
      </c>
      <c r="J70" s="59">
        <f>_xlfn.IFNA(VLOOKUP(A70,'619'!D:Q,14,FALSE),0)</f>
        <v>0</v>
      </c>
      <c r="K70" s="59">
        <f>_xlfn.IFNA(VLOOKUP(A70,'619'!D:Q,14,FALSE),0)</f>
        <v>0</v>
      </c>
      <c r="O70" t="s">
        <v>531</v>
      </c>
      <c r="P70" t="str">
        <f>_xlfn.IFNA(VLOOKUP(A70,IndirectCost!B:L,11,FALSE),"")</f>
        <v/>
      </c>
      <c r="Q70">
        <f t="shared" si="1"/>
        <v>0</v>
      </c>
    </row>
    <row r="71" spans="1:17">
      <c r="A71" t="s">
        <v>86</v>
      </c>
      <c r="B71" t="s">
        <v>624</v>
      </c>
      <c r="C71" t="str">
        <f>VLOOKUP(A71,Districts!A:I,9,FALSE)</f>
        <v>ARIZONA DEPT. OF EDUCATION dba Arizona State School For The Deaf &amp; The Blind</v>
      </c>
      <c r="D71" t="str">
        <f>VLOOKUP(A71,Districts!A:P,16,FALSE)</f>
        <v>WKRWG1FNUN75</v>
      </c>
      <c r="F71" s="1">
        <v>45200</v>
      </c>
      <c r="G71" t="s">
        <v>529</v>
      </c>
      <c r="H71" t="s">
        <v>530</v>
      </c>
      <c r="I71" s="59">
        <f>_xlfn.IFNA(VLOOKUP(A71,'619'!D:F,3,FALSE),0)</f>
        <v>17895.900000000001</v>
      </c>
      <c r="J71" s="59">
        <f>_xlfn.IFNA(VLOOKUP(A71,'619'!D:Q,14,FALSE),0)</f>
        <v>19156.45</v>
      </c>
      <c r="K71" s="59">
        <f>_xlfn.IFNA(VLOOKUP(A71,'619'!D:Q,14,FALSE),0)</f>
        <v>19156.45</v>
      </c>
      <c r="O71" t="s">
        <v>531</v>
      </c>
      <c r="P71" t="str">
        <f>_xlfn.IFNA(VLOOKUP(A71,IndirectCost!B:L,11,FALSE),"")</f>
        <v/>
      </c>
      <c r="Q71">
        <f t="shared" si="1"/>
        <v>0</v>
      </c>
    </row>
    <row r="72" spans="1:17">
      <c r="A72" t="s">
        <v>87</v>
      </c>
      <c r="B72" t="s">
        <v>625</v>
      </c>
      <c r="C72" t="str">
        <f>VLOOKUP(A72,Districts!A:I,9,FALSE)</f>
        <v>ARLINGTON SCHOOL DISTRICT 47</v>
      </c>
      <c r="D72" t="str">
        <f>VLOOKUP(A72,Districts!A:P,16,FALSE)</f>
        <v>QA78CNCFGMM1</v>
      </c>
      <c r="F72" s="1">
        <v>45200</v>
      </c>
      <c r="G72" t="s">
        <v>529</v>
      </c>
      <c r="H72" t="s">
        <v>530</v>
      </c>
      <c r="I72" s="59">
        <f>_xlfn.IFNA(VLOOKUP(A72,'619'!D:F,3,FALSE),0)</f>
        <v>497.49</v>
      </c>
      <c r="J72" s="59">
        <f>_xlfn.IFNA(VLOOKUP(A72,'619'!D:Q,14,FALSE),0)</f>
        <v>0</v>
      </c>
      <c r="K72" s="59">
        <f>_xlfn.IFNA(VLOOKUP(A72,'619'!D:Q,14,FALSE),0)</f>
        <v>0</v>
      </c>
      <c r="O72" t="s">
        <v>531</v>
      </c>
      <c r="P72">
        <f>_xlfn.IFNA(VLOOKUP(A72,IndirectCost!B:L,11,FALSE),"")</f>
        <v>8</v>
      </c>
      <c r="Q72">
        <f t="shared" si="1"/>
        <v>0.08</v>
      </c>
    </row>
    <row r="73" spans="1:17">
      <c r="A73" t="s">
        <v>88</v>
      </c>
      <c r="B73" t="s">
        <v>626</v>
      </c>
      <c r="C73" t="str">
        <f>VLOOKUP(A73,Districts!A:I,9,FALSE)</f>
        <v>Ash Creek Elem School Dist 53</v>
      </c>
      <c r="D73" t="str">
        <f>VLOOKUP(A73,Districts!A:P,16,FALSE)</f>
        <v>K4DAG2CC85J6</v>
      </c>
      <c r="F73" s="1">
        <v>45200</v>
      </c>
      <c r="G73" t="s">
        <v>529</v>
      </c>
      <c r="H73" t="s">
        <v>530</v>
      </c>
      <c r="I73" s="59">
        <f>_xlfn.IFNA(VLOOKUP(A73,'619'!D:F,3,FALSE),0)</f>
        <v>327.45</v>
      </c>
      <c r="J73" s="59">
        <f>_xlfn.IFNA(VLOOKUP(A73,'619'!D:Q,14,FALSE),0)</f>
        <v>327.45</v>
      </c>
      <c r="K73" s="59">
        <f>_xlfn.IFNA(VLOOKUP(A73,'619'!D:Q,14,FALSE),0)</f>
        <v>327.45</v>
      </c>
      <c r="O73" t="s">
        <v>531</v>
      </c>
      <c r="P73" t="str">
        <f>_xlfn.IFNA(VLOOKUP(A73,IndirectCost!B:L,11,FALSE),"")</f>
        <v/>
      </c>
      <c r="Q73">
        <f t="shared" si="1"/>
        <v>0</v>
      </c>
    </row>
    <row r="74" spans="1:17">
      <c r="A74" t="s">
        <v>89</v>
      </c>
      <c r="B74" t="s">
        <v>627</v>
      </c>
      <c r="C74" t="str">
        <f>VLOOKUP(A74,Districts!A:I,9,FALSE)</f>
        <v>Ash Fork School District 31</v>
      </c>
      <c r="D74" t="str">
        <f>VLOOKUP(A74,Districts!A:P,16,FALSE)</f>
        <v>U129YMJMGZY6</v>
      </c>
      <c r="F74" s="1">
        <v>45200</v>
      </c>
      <c r="G74" t="s">
        <v>529</v>
      </c>
      <c r="H74" t="s">
        <v>530</v>
      </c>
      <c r="I74" s="59">
        <f>_xlfn.IFNA(VLOOKUP(A74,'619'!D:F,3,FALSE),0)</f>
        <v>794.58</v>
      </c>
      <c r="J74" s="59">
        <f>_xlfn.IFNA(VLOOKUP(A74,'619'!D:Q,14,FALSE),0)</f>
        <v>794.58</v>
      </c>
      <c r="K74" s="59">
        <f>_xlfn.IFNA(VLOOKUP(A74,'619'!D:Q,14,FALSE),0)</f>
        <v>794.58</v>
      </c>
      <c r="O74" t="s">
        <v>531</v>
      </c>
      <c r="P74">
        <f>_xlfn.IFNA(VLOOKUP(A74,IndirectCost!B:L,11,FALSE),"")</f>
        <v>2.38</v>
      </c>
      <c r="Q74">
        <f t="shared" si="1"/>
        <v>2.3799999999999998E-2</v>
      </c>
    </row>
    <row r="75" spans="1:17">
      <c r="A75" t="s">
        <v>628</v>
      </c>
      <c r="B75" t="s">
        <v>629</v>
      </c>
      <c r="C75" t="str">
        <f>VLOOKUP(A75,Districts!A:I,9,FALSE)</f>
        <v>ASU Preparatory Academy</v>
      </c>
      <c r="D75" t="str">
        <f>VLOOKUP(A75,Districts!A:P,16,FALSE)</f>
        <v>QBFJRMDBZRE3</v>
      </c>
      <c r="F75" s="1">
        <v>45200</v>
      </c>
      <c r="G75" t="s">
        <v>529</v>
      </c>
      <c r="H75" t="s">
        <v>530</v>
      </c>
      <c r="I75" s="59">
        <f>_xlfn.IFNA(VLOOKUP(A75,'619'!D:F,3,FALSE),0)</f>
        <v>0</v>
      </c>
      <c r="J75" s="59">
        <f>_xlfn.IFNA(VLOOKUP(A75,'619'!D:Q,14,FALSE),0)</f>
        <v>0</v>
      </c>
      <c r="K75" s="59">
        <f>_xlfn.IFNA(VLOOKUP(A75,'619'!D:Q,14,FALSE),0)</f>
        <v>0</v>
      </c>
      <c r="O75" t="s">
        <v>531</v>
      </c>
      <c r="P75">
        <f>_xlfn.IFNA(VLOOKUP(A75,IndirectCost!B:L,11,FALSE),"")</f>
        <v>8</v>
      </c>
      <c r="Q75">
        <f t="shared" si="1"/>
        <v>0.08</v>
      </c>
    </row>
    <row r="76" spans="1:17">
      <c r="A76" t="s">
        <v>93</v>
      </c>
      <c r="B76" t="s">
        <v>630</v>
      </c>
      <c r="C76" t="str">
        <f>VLOOKUP(A76,Districts!A:I,9,FALSE)</f>
        <v>ASU Preparatory Academy</v>
      </c>
      <c r="D76" t="str">
        <f>VLOOKUP(A76,Districts!A:P,16,FALSE)</f>
        <v>QBFJRMDBZRE3</v>
      </c>
      <c r="F76" s="1">
        <v>45200</v>
      </c>
      <c r="G76" t="s">
        <v>529</v>
      </c>
      <c r="H76" t="s">
        <v>530</v>
      </c>
      <c r="I76" s="59">
        <f>_xlfn.IFNA(VLOOKUP(A76,'619'!D:F,3,FALSE),0)</f>
        <v>3452.85</v>
      </c>
      <c r="J76" s="59">
        <f>_xlfn.IFNA(VLOOKUP(A76,'619'!D:Q,14,FALSE),0)</f>
        <v>3452.85</v>
      </c>
      <c r="K76" s="59">
        <f>_xlfn.IFNA(VLOOKUP(A76,'619'!D:Q,14,FALSE),0)</f>
        <v>3452.85</v>
      </c>
      <c r="O76" t="s">
        <v>531</v>
      </c>
      <c r="P76">
        <f>_xlfn.IFNA(VLOOKUP(A76,IndirectCost!B:L,11,FALSE),"")</f>
        <v>8</v>
      </c>
      <c r="Q76">
        <f t="shared" si="1"/>
        <v>0.08</v>
      </c>
    </row>
    <row r="77" spans="1:17">
      <c r="A77" t="s">
        <v>631</v>
      </c>
      <c r="B77" t="s">
        <v>632</v>
      </c>
      <c r="C77" t="str">
        <f>VLOOKUP(A77,Districts!A:I,9,FALSE)</f>
        <v>ASU Preparatory Academy</v>
      </c>
      <c r="D77" t="str">
        <f>VLOOKUP(A77,Districts!A:P,16,FALSE)</f>
        <v>QBFJRMDBZRE3</v>
      </c>
      <c r="F77" s="1">
        <v>45200</v>
      </c>
      <c r="G77" t="s">
        <v>529</v>
      </c>
      <c r="H77" t="s">
        <v>530</v>
      </c>
      <c r="I77" s="59">
        <f>_xlfn.IFNA(VLOOKUP(A77,'619'!D:F,3,FALSE),0)</f>
        <v>0</v>
      </c>
      <c r="J77" s="59">
        <f>_xlfn.IFNA(VLOOKUP(A77,'619'!D:Q,14,FALSE),0)</f>
        <v>0</v>
      </c>
      <c r="K77" s="59">
        <f>_xlfn.IFNA(VLOOKUP(A77,'619'!D:Q,14,FALSE),0)</f>
        <v>0</v>
      </c>
      <c r="O77" t="s">
        <v>531</v>
      </c>
      <c r="P77">
        <f>_xlfn.IFNA(VLOOKUP(A77,IndirectCost!B:L,11,FALSE),"")</f>
        <v>8</v>
      </c>
      <c r="Q77">
        <f t="shared" si="1"/>
        <v>0.08</v>
      </c>
    </row>
    <row r="78" spans="1:17">
      <c r="A78" t="s">
        <v>633</v>
      </c>
      <c r="B78" t="s">
        <v>632</v>
      </c>
      <c r="C78" t="str">
        <f>VLOOKUP(A78,Districts!A:I,9,FALSE)</f>
        <v>ASU Preparatory Academy</v>
      </c>
      <c r="D78" t="str">
        <f>VLOOKUP(A78,Districts!A:P,16,FALSE)</f>
        <v>QBFJRMDBZRE3</v>
      </c>
      <c r="F78" s="1">
        <v>45200</v>
      </c>
      <c r="G78" t="s">
        <v>529</v>
      </c>
      <c r="H78" t="s">
        <v>530</v>
      </c>
      <c r="I78" s="59">
        <f>_xlfn.IFNA(VLOOKUP(A78,'619'!D:F,3,FALSE),0)</f>
        <v>0</v>
      </c>
      <c r="J78" s="59">
        <f>_xlfn.IFNA(VLOOKUP(A78,'619'!D:Q,14,FALSE),0)</f>
        <v>0</v>
      </c>
      <c r="K78" s="59">
        <f>_xlfn.IFNA(VLOOKUP(A78,'619'!D:Q,14,FALSE),0)</f>
        <v>0</v>
      </c>
      <c r="O78" t="s">
        <v>531</v>
      </c>
      <c r="P78">
        <f>_xlfn.IFNA(VLOOKUP(A78,IndirectCost!B:L,11,FALSE),"")</f>
        <v>8</v>
      </c>
      <c r="Q78">
        <f t="shared" si="1"/>
        <v>0.08</v>
      </c>
    </row>
    <row r="79" spans="1:17">
      <c r="A79" t="s">
        <v>91</v>
      </c>
      <c r="B79" t="s">
        <v>632</v>
      </c>
      <c r="C79" t="str">
        <f>VLOOKUP(A79,Districts!A:I,9,FALSE)</f>
        <v>ASU Preparatory Academy</v>
      </c>
      <c r="D79" t="str">
        <f>VLOOKUP(A79,Districts!A:P,16,FALSE)</f>
        <v>QBFJRMDBZRE3</v>
      </c>
      <c r="F79" s="1">
        <v>45200</v>
      </c>
      <c r="G79" t="s">
        <v>529</v>
      </c>
      <c r="H79" t="s">
        <v>530</v>
      </c>
      <c r="I79" s="59">
        <f>_xlfn.IFNA(VLOOKUP(A79,'619'!D:F,3,FALSE),0)</f>
        <v>735.82</v>
      </c>
      <c r="J79" s="59">
        <f>_xlfn.IFNA(VLOOKUP(A79,'619'!D:Q,14,FALSE),0)</f>
        <v>735.82</v>
      </c>
      <c r="K79" s="59">
        <f>_xlfn.IFNA(VLOOKUP(A79,'619'!D:Q,14,FALSE),0)</f>
        <v>735.82</v>
      </c>
      <c r="O79" t="s">
        <v>531</v>
      </c>
      <c r="P79">
        <f>_xlfn.IFNA(VLOOKUP(A79,IndirectCost!B:L,11,FALSE),"")</f>
        <v>8</v>
      </c>
      <c r="Q79">
        <f t="shared" si="1"/>
        <v>0.08</v>
      </c>
    </row>
    <row r="80" spans="1:17">
      <c r="A80" t="s">
        <v>634</v>
      </c>
      <c r="B80" t="s">
        <v>632</v>
      </c>
      <c r="C80" t="str">
        <f>VLOOKUP(A80,Districts!A:I,9,FALSE)</f>
        <v>ASU Preparatory Academy</v>
      </c>
      <c r="D80" t="str">
        <f>VLOOKUP(A80,Districts!A:P,16,FALSE)</f>
        <v>QBFJRMDBZRE3</v>
      </c>
      <c r="F80" s="1">
        <v>45200</v>
      </c>
      <c r="G80" t="s">
        <v>529</v>
      </c>
      <c r="H80" t="s">
        <v>530</v>
      </c>
      <c r="I80" s="59">
        <f>_xlfn.IFNA(VLOOKUP(A80,'619'!D:F,3,FALSE),0)</f>
        <v>0</v>
      </c>
      <c r="J80" s="59">
        <f>_xlfn.IFNA(VLOOKUP(A80,'619'!D:Q,14,FALSE),0)</f>
        <v>0</v>
      </c>
      <c r="K80" s="59">
        <f>_xlfn.IFNA(VLOOKUP(A80,'619'!D:Q,14,FALSE),0)</f>
        <v>0</v>
      </c>
      <c r="O80" t="s">
        <v>531</v>
      </c>
      <c r="P80">
        <f>_xlfn.IFNA(VLOOKUP(A80,IndirectCost!B:L,11,FALSE),"")</f>
        <v>8</v>
      </c>
      <c r="Q80">
        <f t="shared" si="1"/>
        <v>0.08</v>
      </c>
    </row>
    <row r="81" spans="1:17">
      <c r="A81" t="s">
        <v>635</v>
      </c>
      <c r="B81" t="s">
        <v>632</v>
      </c>
      <c r="C81" t="str">
        <f>VLOOKUP(A81,Districts!A:I,9,FALSE)</f>
        <v>ASU Preparatory Academy</v>
      </c>
      <c r="D81" t="str">
        <f>VLOOKUP(A81,Districts!A:P,16,FALSE)</f>
        <v>QBFJRMDBZRE3</v>
      </c>
      <c r="F81" s="1">
        <v>45200</v>
      </c>
      <c r="G81" t="s">
        <v>529</v>
      </c>
      <c r="H81" t="s">
        <v>530</v>
      </c>
      <c r="I81" s="59">
        <f>_xlfn.IFNA(VLOOKUP(A81,'619'!D:F,3,FALSE),0)</f>
        <v>0</v>
      </c>
      <c r="J81" s="59">
        <f>_xlfn.IFNA(VLOOKUP(A81,'619'!D:Q,14,FALSE),0)</f>
        <v>0</v>
      </c>
      <c r="K81" s="59">
        <f>_xlfn.IFNA(VLOOKUP(A81,'619'!D:Q,14,FALSE),0)</f>
        <v>0</v>
      </c>
      <c r="O81" t="s">
        <v>531</v>
      </c>
      <c r="P81">
        <f>_xlfn.IFNA(VLOOKUP(A81,IndirectCost!B:L,11,FALSE),"")</f>
        <v>8</v>
      </c>
      <c r="Q81">
        <f t="shared" si="1"/>
        <v>0.08</v>
      </c>
    </row>
    <row r="82" spans="1:17">
      <c r="A82" t="s">
        <v>636</v>
      </c>
      <c r="B82" t="s">
        <v>632</v>
      </c>
      <c r="C82" t="str">
        <f>VLOOKUP(A82,Districts!A:I,9,FALSE)</f>
        <v>ASU Preparatory Academy</v>
      </c>
      <c r="D82" t="str">
        <f>VLOOKUP(A82,Districts!A:P,16,FALSE)</f>
        <v>QBFJRMDBZRE3</v>
      </c>
      <c r="F82" s="1">
        <v>45200</v>
      </c>
      <c r="G82" t="s">
        <v>529</v>
      </c>
      <c r="H82" t="s">
        <v>530</v>
      </c>
      <c r="I82" s="59">
        <f>_xlfn.IFNA(VLOOKUP(A82,'619'!D:F,3,FALSE),0)</f>
        <v>0</v>
      </c>
      <c r="J82" s="59">
        <f>_xlfn.IFNA(VLOOKUP(A82,'619'!D:Q,14,FALSE),0)</f>
        <v>0</v>
      </c>
      <c r="K82" s="59">
        <f>_xlfn.IFNA(VLOOKUP(A82,'619'!D:Q,14,FALSE),0)</f>
        <v>0</v>
      </c>
      <c r="O82" t="s">
        <v>531</v>
      </c>
      <c r="P82">
        <f>_xlfn.IFNA(VLOOKUP(A82,IndirectCost!B:L,11,FALSE),"")</f>
        <v>8</v>
      </c>
      <c r="Q82">
        <f t="shared" si="1"/>
        <v>0.08</v>
      </c>
    </row>
    <row r="83" spans="1:17">
      <c r="A83" t="s">
        <v>637</v>
      </c>
      <c r="B83" t="s">
        <v>632</v>
      </c>
      <c r="C83" t="str">
        <f>VLOOKUP(A83,Districts!A:I,9,FALSE)</f>
        <v>ASU Preparatory Academy</v>
      </c>
      <c r="D83" t="str">
        <f>VLOOKUP(A83,Districts!A:P,16,FALSE)</f>
        <v>QBFJRMDBZRE3</v>
      </c>
      <c r="F83" s="1">
        <v>45200</v>
      </c>
      <c r="G83" t="s">
        <v>529</v>
      </c>
      <c r="H83" t="s">
        <v>530</v>
      </c>
      <c r="I83" s="59">
        <f>_xlfn.IFNA(VLOOKUP(A83,'619'!D:F,3,FALSE),0)</f>
        <v>0</v>
      </c>
      <c r="J83" s="59">
        <f>_xlfn.IFNA(VLOOKUP(A83,'619'!D:Q,14,FALSE),0)</f>
        <v>0</v>
      </c>
      <c r="K83" s="59">
        <f>_xlfn.IFNA(VLOOKUP(A83,'619'!D:Q,14,FALSE),0)</f>
        <v>0</v>
      </c>
      <c r="O83" t="s">
        <v>531</v>
      </c>
      <c r="P83">
        <f>_xlfn.IFNA(VLOOKUP(A83,IndirectCost!B:L,11,FALSE),"")</f>
        <v>8</v>
      </c>
      <c r="Q83">
        <f t="shared" si="1"/>
        <v>0.08</v>
      </c>
    </row>
    <row r="84" spans="1:17">
      <c r="A84" t="s">
        <v>90</v>
      </c>
      <c r="B84" t="s">
        <v>632</v>
      </c>
      <c r="C84" t="str">
        <f>VLOOKUP(A84,Districts!A:I,9,FALSE)</f>
        <v>ASU Preparatory Academy</v>
      </c>
      <c r="D84" t="str">
        <f>VLOOKUP(A84,Districts!A:P,16,FALSE)</f>
        <v>QBFJRMDBZRE3</v>
      </c>
      <c r="F84" s="1">
        <v>45200</v>
      </c>
      <c r="G84" t="s">
        <v>529</v>
      </c>
      <c r="H84" t="s">
        <v>530</v>
      </c>
      <c r="I84" s="59">
        <f>_xlfn.IFNA(VLOOKUP(A84,'619'!D:F,3,FALSE),0)</f>
        <v>472.82</v>
      </c>
      <c r="J84" s="59">
        <f>_xlfn.IFNA(VLOOKUP(A84,'619'!D:Q,14,FALSE),0)</f>
        <v>472.82</v>
      </c>
      <c r="K84" s="59">
        <f>_xlfn.IFNA(VLOOKUP(A84,'619'!D:Q,14,FALSE),0)</f>
        <v>472.82</v>
      </c>
      <c r="O84" t="s">
        <v>531</v>
      </c>
      <c r="P84">
        <f>_xlfn.IFNA(VLOOKUP(A84,IndirectCost!B:L,11,FALSE),"")</f>
        <v>8</v>
      </c>
      <c r="Q84">
        <f t="shared" si="1"/>
        <v>0.08</v>
      </c>
    </row>
    <row r="85" spans="1:17">
      <c r="A85" t="s">
        <v>92</v>
      </c>
      <c r="B85" t="s">
        <v>632</v>
      </c>
      <c r="C85" t="str">
        <f>VLOOKUP(A85,Districts!A:I,9,FALSE)</f>
        <v>ASU Preparatory Academy</v>
      </c>
      <c r="D85" t="str">
        <f>VLOOKUP(A85,Districts!A:P,16,FALSE)</f>
        <v>QBFJRMDBZRE3</v>
      </c>
      <c r="F85" s="1">
        <v>45200</v>
      </c>
      <c r="G85" t="s">
        <v>529</v>
      </c>
      <c r="H85" t="s">
        <v>530</v>
      </c>
      <c r="I85" s="59">
        <f>_xlfn.IFNA(VLOOKUP(A85,'619'!D:F,3,FALSE),0)</f>
        <v>697.39</v>
      </c>
      <c r="J85" s="59">
        <f>_xlfn.IFNA(VLOOKUP(A85,'619'!D:Q,14,FALSE),0)</f>
        <v>697.39</v>
      </c>
      <c r="K85" s="59">
        <f>_xlfn.IFNA(VLOOKUP(A85,'619'!D:Q,14,FALSE),0)</f>
        <v>697.39</v>
      </c>
      <c r="O85" t="s">
        <v>531</v>
      </c>
      <c r="P85">
        <f>_xlfn.IFNA(VLOOKUP(A85,IndirectCost!B:L,11,FALSE),"")</f>
        <v>8</v>
      </c>
      <c r="Q85">
        <f t="shared" si="1"/>
        <v>0.08</v>
      </c>
    </row>
    <row r="86" spans="1:17">
      <c r="A86" t="s">
        <v>94</v>
      </c>
      <c r="B86" t="s">
        <v>638</v>
      </c>
      <c r="C86" t="str">
        <f>VLOOKUP(A86,Districts!A:I,9,FALSE)</f>
        <v>AVONDALE SCHOOL DISTRICT 44</v>
      </c>
      <c r="D86" t="str">
        <f>VLOOKUP(A86,Districts!A:P,16,FALSE)</f>
        <v>CL6YDU7H4CA6</v>
      </c>
      <c r="F86" s="1">
        <v>45200</v>
      </c>
      <c r="G86" t="s">
        <v>529</v>
      </c>
      <c r="H86" t="s">
        <v>530</v>
      </c>
      <c r="I86" s="59">
        <f>_xlfn.IFNA(VLOOKUP(A86,'619'!D:F,3,FALSE),0)</f>
        <v>14417.56</v>
      </c>
      <c r="J86" s="59">
        <f>_xlfn.IFNA(VLOOKUP(A86,'619'!D:Q,14,FALSE),0)</f>
        <v>24034.97</v>
      </c>
      <c r="K86" s="59">
        <f>_xlfn.IFNA(VLOOKUP(A86,'619'!D:Q,14,FALSE),0)</f>
        <v>24034.97</v>
      </c>
      <c r="O86" t="s">
        <v>531</v>
      </c>
      <c r="P86">
        <f>_xlfn.IFNA(VLOOKUP(A86,IndirectCost!B:L,11,FALSE),"")</f>
        <v>5.07</v>
      </c>
      <c r="Q86">
        <f t="shared" si="1"/>
        <v>5.0700000000000002E-2</v>
      </c>
    </row>
    <row r="87" spans="1:17">
      <c r="A87" t="s">
        <v>639</v>
      </c>
      <c r="B87" t="s">
        <v>640</v>
      </c>
      <c r="C87" t="str">
        <f>VLOOKUP(A87,Districts!A:I,9,FALSE)</f>
        <v>Avondale Learning dba Precision Academy</v>
      </c>
      <c r="D87" t="str">
        <f>VLOOKUP(A87,Districts!A:P,16,FALSE)</f>
        <v>KY7XPUBGJBT4</v>
      </c>
      <c r="F87" s="1">
        <v>45200</v>
      </c>
      <c r="G87" t="s">
        <v>529</v>
      </c>
      <c r="H87" t="s">
        <v>530</v>
      </c>
      <c r="I87" s="59">
        <f>_xlfn.IFNA(VLOOKUP(A87,'619'!D:F,3,FALSE),0)</f>
        <v>0</v>
      </c>
      <c r="J87" s="59">
        <f>_xlfn.IFNA(VLOOKUP(A87,'619'!D:Q,14,FALSE),0)</f>
        <v>0</v>
      </c>
      <c r="K87" s="59">
        <f>_xlfn.IFNA(VLOOKUP(A87,'619'!D:Q,14,FALSE),0)</f>
        <v>0</v>
      </c>
      <c r="O87" t="s">
        <v>531</v>
      </c>
      <c r="P87" t="str">
        <f>_xlfn.IFNA(VLOOKUP(A87,IndirectCost!B:L,11,FALSE),"")</f>
        <v/>
      </c>
      <c r="Q87">
        <f t="shared" si="1"/>
        <v>0</v>
      </c>
    </row>
    <row r="88" spans="1:17">
      <c r="A88" t="s">
        <v>641</v>
      </c>
      <c r="B88" t="s">
        <v>642</v>
      </c>
      <c r="C88" t="str">
        <f>VLOOKUP(A88,Districts!A:I,9,FALSE)</f>
        <v>AZ Compass Schools, Inc.</v>
      </c>
      <c r="D88" t="str">
        <f>VLOOKUP(A88,Districts!A:P,16,FALSE)</f>
        <v>PVCMZGBQN9B3</v>
      </c>
      <c r="F88" s="1">
        <v>45200</v>
      </c>
      <c r="G88" t="s">
        <v>529</v>
      </c>
      <c r="H88" t="s">
        <v>530</v>
      </c>
      <c r="I88" s="59">
        <f>_xlfn.IFNA(VLOOKUP(A88,'619'!D:F,3,FALSE),0)</f>
        <v>0</v>
      </c>
      <c r="J88" s="59">
        <f>_xlfn.IFNA(VLOOKUP(A88,'619'!D:Q,14,FALSE),0)</f>
        <v>0</v>
      </c>
      <c r="K88" s="59">
        <f>_xlfn.IFNA(VLOOKUP(A88,'619'!D:Q,14,FALSE),0)</f>
        <v>0</v>
      </c>
      <c r="O88" t="s">
        <v>531</v>
      </c>
      <c r="P88" t="str">
        <f>_xlfn.IFNA(VLOOKUP(A88,IndirectCost!B:L,11,FALSE),"")</f>
        <v/>
      </c>
      <c r="Q88">
        <f t="shared" si="1"/>
        <v>0</v>
      </c>
    </row>
    <row r="89" spans="1:17">
      <c r="A89" t="s">
        <v>643</v>
      </c>
      <c r="B89" t="s">
        <v>644</v>
      </c>
      <c r="C89" t="str">
        <f>VLOOKUP(A89,Districts!A:I,9,FALSE)</f>
        <v>Juvenile Corrections Arizona Department</v>
      </c>
      <c r="D89" t="str">
        <f>VLOOKUP(A89,Districts!A:P,16,FALSE)</f>
        <v>XVMBHKMJ6AU7</v>
      </c>
      <c r="F89" s="1">
        <v>45200</v>
      </c>
      <c r="G89" t="s">
        <v>529</v>
      </c>
      <c r="H89" t="s">
        <v>530</v>
      </c>
      <c r="I89" s="59">
        <f>_xlfn.IFNA(VLOOKUP(A89,'619'!D:F,3,FALSE),0)</f>
        <v>0</v>
      </c>
      <c r="J89" s="59">
        <f>_xlfn.IFNA(VLOOKUP(A89,'619'!D:Q,14,FALSE),0)</f>
        <v>0</v>
      </c>
      <c r="K89" s="59">
        <f>_xlfn.IFNA(VLOOKUP(A89,'619'!D:Q,14,FALSE),0)</f>
        <v>0</v>
      </c>
      <c r="O89" t="s">
        <v>531</v>
      </c>
      <c r="P89" t="str">
        <f>_xlfn.IFNA(VLOOKUP(A89,IndirectCost!B:L,11,FALSE),"")</f>
        <v/>
      </c>
      <c r="Q89">
        <f t="shared" si="1"/>
        <v>0</v>
      </c>
    </row>
    <row r="90" spans="1:17">
      <c r="A90" t="s">
        <v>95</v>
      </c>
      <c r="B90" t="s">
        <v>645</v>
      </c>
      <c r="C90" t="str">
        <f>VLOOKUP(A90,Districts!A:I,9,FALSE)</f>
        <v>BABOQUIVARI UNIFIED SCHOOL DISTRICT #40</v>
      </c>
      <c r="D90" t="str">
        <f>VLOOKUP(A90,Districts!A:P,16,FALSE)</f>
        <v>UU16Z4WXLGJ6</v>
      </c>
      <c r="F90" s="1">
        <v>45200</v>
      </c>
      <c r="G90" t="s">
        <v>529</v>
      </c>
      <c r="H90" t="s">
        <v>530</v>
      </c>
      <c r="I90" s="59">
        <f>_xlfn.IFNA(VLOOKUP(A90,'619'!D:F,3,FALSE),0)</f>
        <v>14051.99</v>
      </c>
      <c r="J90" s="59">
        <f>_xlfn.IFNA(VLOOKUP(A90,'619'!D:Q,14,FALSE),0)</f>
        <v>27894.21</v>
      </c>
      <c r="K90" s="59">
        <f>_xlfn.IFNA(VLOOKUP(A90,'619'!D:Q,14,FALSE),0)</f>
        <v>27894.21</v>
      </c>
      <c r="O90" t="s">
        <v>531</v>
      </c>
      <c r="P90">
        <f>_xlfn.IFNA(VLOOKUP(A90,IndirectCost!B:L,11,FALSE),"")</f>
        <v>5.94</v>
      </c>
      <c r="Q90">
        <f t="shared" si="1"/>
        <v>5.9400000000000001E-2</v>
      </c>
    </row>
    <row r="91" spans="1:17">
      <c r="A91" t="s">
        <v>96</v>
      </c>
      <c r="B91" t="s">
        <v>646</v>
      </c>
      <c r="C91" t="str">
        <f>VLOOKUP(A91,Districts!A:I,9,FALSE)</f>
        <v>Bagdad Unified School District 20</v>
      </c>
      <c r="D91" t="str">
        <f>VLOOKUP(A91,Districts!A:P,16,FALSE)</f>
        <v>WMJKDHNFZNM8</v>
      </c>
      <c r="F91" s="1">
        <v>45200</v>
      </c>
      <c r="G91" t="s">
        <v>529</v>
      </c>
      <c r="H91" t="s">
        <v>530</v>
      </c>
      <c r="I91" s="59">
        <f>_xlfn.IFNA(VLOOKUP(A91,'619'!D:F,3,FALSE),0)</f>
        <v>3474.95</v>
      </c>
      <c r="J91" s="59">
        <f>_xlfn.IFNA(VLOOKUP(A91,'619'!D:Q,14,FALSE),0)</f>
        <v>3812.95</v>
      </c>
      <c r="K91" s="59">
        <f>_xlfn.IFNA(VLOOKUP(A91,'619'!D:Q,14,FALSE),0)</f>
        <v>3812.95</v>
      </c>
      <c r="O91" t="s">
        <v>531</v>
      </c>
      <c r="P91" t="str">
        <f>_xlfn.IFNA(VLOOKUP(A91,IndirectCost!B:L,11,FALSE),"")</f>
        <v/>
      </c>
      <c r="Q91">
        <f t="shared" si="1"/>
        <v>0</v>
      </c>
    </row>
    <row r="92" spans="1:17">
      <c r="A92" t="s">
        <v>97</v>
      </c>
      <c r="B92" t="s">
        <v>647</v>
      </c>
      <c r="C92" t="str">
        <f>VLOOKUP(A92,Districts!A:I,9,FALSE)</f>
        <v>Dobson Academy A Ball Charter School</v>
      </c>
      <c r="D92" t="str">
        <f>VLOOKUP(A92,Districts!A:P,16,FALSE)</f>
        <v>HC9VLXJ9KJC4</v>
      </c>
      <c r="F92" s="1">
        <v>45200</v>
      </c>
      <c r="G92" t="s">
        <v>529</v>
      </c>
      <c r="H92" t="s">
        <v>530</v>
      </c>
      <c r="I92" s="59">
        <f>_xlfn.IFNA(VLOOKUP(A92,'619'!D:F,3,FALSE),0)</f>
        <v>542.67999999999995</v>
      </c>
      <c r="J92" s="59">
        <f>_xlfn.IFNA(VLOOKUP(A92,'619'!D:Q,14,FALSE),0)</f>
        <v>0</v>
      </c>
      <c r="K92" s="59">
        <f>_xlfn.IFNA(VLOOKUP(A92,'619'!D:Q,14,FALSE),0)</f>
        <v>0</v>
      </c>
      <c r="O92" t="s">
        <v>531</v>
      </c>
      <c r="P92" t="str">
        <f>_xlfn.IFNA(VLOOKUP(A92,IndirectCost!B:L,11,FALSE),"")</f>
        <v/>
      </c>
      <c r="Q92">
        <f t="shared" si="1"/>
        <v>0</v>
      </c>
    </row>
    <row r="93" spans="1:17">
      <c r="A93" t="s">
        <v>98</v>
      </c>
      <c r="B93" t="s">
        <v>648</v>
      </c>
      <c r="C93" t="str">
        <f>VLOOKUP(A93,Districts!A:I,9,FALSE)</f>
        <v>Ball Charter Schools (Hearn)</v>
      </c>
      <c r="D93" t="str">
        <f>VLOOKUP(A93,Districts!A:P,16,FALSE)</f>
        <v>K5AMHPCCSZ26</v>
      </c>
      <c r="F93" s="1">
        <v>45200</v>
      </c>
      <c r="G93" t="s">
        <v>529</v>
      </c>
      <c r="H93" t="s">
        <v>530</v>
      </c>
      <c r="I93" s="59">
        <f>_xlfn.IFNA(VLOOKUP(A93,'619'!D:F,3,FALSE),0)</f>
        <v>938.86</v>
      </c>
      <c r="J93" s="59">
        <f>_xlfn.IFNA(VLOOKUP(A93,'619'!D:Q,14,FALSE),0)</f>
        <v>0</v>
      </c>
      <c r="K93" s="59">
        <f>_xlfn.IFNA(VLOOKUP(A93,'619'!D:Q,14,FALSE),0)</f>
        <v>0</v>
      </c>
      <c r="O93" t="s">
        <v>531</v>
      </c>
      <c r="P93" t="str">
        <f>_xlfn.IFNA(VLOOKUP(A93,IndirectCost!B:L,11,FALSE),"")</f>
        <v/>
      </c>
      <c r="Q93">
        <f t="shared" si="1"/>
        <v>0</v>
      </c>
    </row>
    <row r="94" spans="1:17">
      <c r="A94" t="s">
        <v>99</v>
      </c>
      <c r="B94" t="s">
        <v>649</v>
      </c>
      <c r="C94" t="str">
        <f>VLOOKUP(A94,Districts!A:I,9,FALSE)</f>
        <v>Ball Charter Schools</v>
      </c>
      <c r="D94" t="str">
        <f>VLOOKUP(A94,Districts!A:P,16,FALSE)</f>
        <v>LCT2CK7GBJ33</v>
      </c>
      <c r="F94" s="1">
        <v>45200</v>
      </c>
      <c r="G94" t="s">
        <v>529</v>
      </c>
      <c r="H94" t="s">
        <v>530</v>
      </c>
      <c r="I94" s="59">
        <f>_xlfn.IFNA(VLOOKUP(A94,'619'!D:F,3,FALSE),0)</f>
        <v>910.04</v>
      </c>
      <c r="J94" s="59">
        <f>_xlfn.IFNA(VLOOKUP(A94,'619'!D:Q,14,FALSE),0)</f>
        <v>0</v>
      </c>
      <c r="K94" s="59">
        <f>_xlfn.IFNA(VLOOKUP(A94,'619'!D:Q,14,FALSE),0)</f>
        <v>0</v>
      </c>
      <c r="O94" t="s">
        <v>531</v>
      </c>
      <c r="P94" t="str">
        <f>_xlfn.IFNA(VLOOKUP(A94,IndirectCost!B:L,11,FALSE),"")</f>
        <v/>
      </c>
      <c r="Q94">
        <f t="shared" si="1"/>
        <v>0</v>
      </c>
    </row>
    <row r="95" spans="1:17">
      <c r="A95" t="s">
        <v>100</v>
      </c>
      <c r="B95" t="s">
        <v>650</v>
      </c>
      <c r="C95" t="str">
        <f>VLOOKUP(A95,Districts!A:I,9,FALSE)</f>
        <v>Balsz School District</v>
      </c>
      <c r="D95" t="str">
        <f>VLOOKUP(A95,Districts!A:P,16,FALSE)</f>
        <v>NZFXT3N1YH22</v>
      </c>
      <c r="F95" s="1">
        <v>45200</v>
      </c>
      <c r="G95" t="s">
        <v>529</v>
      </c>
      <c r="H95" t="s">
        <v>530</v>
      </c>
      <c r="I95" s="59">
        <f>_xlfn.IFNA(VLOOKUP(A95,'619'!D:F,3,FALSE),0)</f>
        <v>16976.23</v>
      </c>
      <c r="J95" s="59">
        <f>_xlfn.IFNA(VLOOKUP(A95,'619'!D:Q,14,FALSE),0)</f>
        <v>16976.23</v>
      </c>
      <c r="K95" s="59">
        <f>_xlfn.IFNA(VLOOKUP(A95,'619'!D:Q,14,FALSE),0)</f>
        <v>16976.23</v>
      </c>
      <c r="O95" t="s">
        <v>531</v>
      </c>
      <c r="P95">
        <f>_xlfn.IFNA(VLOOKUP(A95,IndirectCost!B:L,11,FALSE),"")</f>
        <v>3.58</v>
      </c>
      <c r="Q95">
        <f t="shared" si="1"/>
        <v>3.5799999999999998E-2</v>
      </c>
    </row>
    <row r="96" spans="1:17">
      <c r="A96" t="s">
        <v>651</v>
      </c>
      <c r="B96" t="s">
        <v>652</v>
      </c>
      <c r="C96" t="str">
        <f>VLOOKUP(A96,Districts!A:I,9,FALSE)</f>
        <v>BASIS CHARTER SCHOOLS, INC.</v>
      </c>
      <c r="D96" t="str">
        <f>VLOOKUP(A96,Districts!A:P,16,FALSE)</f>
        <v>GX9HBMXHK9W8</v>
      </c>
      <c r="F96" s="1">
        <v>45200</v>
      </c>
      <c r="G96" t="s">
        <v>529</v>
      </c>
      <c r="H96" t="s">
        <v>530</v>
      </c>
      <c r="I96" s="59">
        <f>_xlfn.IFNA(VLOOKUP(A96,'619'!D:F,3,FALSE),0)</f>
        <v>0</v>
      </c>
      <c r="J96" s="59">
        <f>_xlfn.IFNA(VLOOKUP(A96,'619'!D:Q,14,FALSE),0)</f>
        <v>0</v>
      </c>
      <c r="K96" s="59">
        <f>_xlfn.IFNA(VLOOKUP(A96,'619'!D:Q,14,FALSE),0)</f>
        <v>0</v>
      </c>
      <c r="O96" t="s">
        <v>531</v>
      </c>
      <c r="P96" t="str">
        <f>_xlfn.IFNA(VLOOKUP(A96,IndirectCost!B:L,11,FALSE),"")</f>
        <v/>
      </c>
      <c r="Q96">
        <f t="shared" si="1"/>
        <v>0</v>
      </c>
    </row>
    <row r="97" spans="1:17">
      <c r="A97" t="s">
        <v>653</v>
      </c>
      <c r="B97" t="s">
        <v>652</v>
      </c>
      <c r="C97" t="str">
        <f>VLOOKUP(A97,Districts!A:I,9,FALSE)</f>
        <v>BASIS CHARTER SCHOOLS, INC.</v>
      </c>
      <c r="D97" t="str">
        <f>VLOOKUP(A97,Districts!A:P,16,FALSE)</f>
        <v>GX9HBMXHK9W8</v>
      </c>
      <c r="F97" s="1">
        <v>45200</v>
      </c>
      <c r="G97" t="s">
        <v>529</v>
      </c>
      <c r="H97" t="s">
        <v>530</v>
      </c>
      <c r="I97" s="59">
        <f>_xlfn.IFNA(VLOOKUP(A97,'619'!D:F,3,FALSE),0)</f>
        <v>0</v>
      </c>
      <c r="J97" s="59">
        <f>_xlfn.IFNA(VLOOKUP(A97,'619'!D:Q,14,FALSE),0)</f>
        <v>0</v>
      </c>
      <c r="K97" s="59">
        <f>_xlfn.IFNA(VLOOKUP(A97,'619'!D:Q,14,FALSE),0)</f>
        <v>0</v>
      </c>
      <c r="O97" t="s">
        <v>531</v>
      </c>
      <c r="P97" t="str">
        <f>_xlfn.IFNA(VLOOKUP(A97,IndirectCost!B:L,11,FALSE),"")</f>
        <v/>
      </c>
      <c r="Q97">
        <f t="shared" si="1"/>
        <v>0</v>
      </c>
    </row>
    <row r="98" spans="1:17">
      <c r="A98" t="s">
        <v>114</v>
      </c>
      <c r="B98" t="s">
        <v>652</v>
      </c>
      <c r="C98" t="str">
        <f>VLOOKUP(A98,Districts!A:I,9,FALSE)</f>
        <v>BASIS CHARTER SCHOOLS, INC.</v>
      </c>
      <c r="D98" t="str">
        <f>VLOOKUP(A98,Districts!A:P,16,FALSE)</f>
        <v>GX9HBMXHK9W8</v>
      </c>
      <c r="F98" s="1">
        <v>45200</v>
      </c>
      <c r="G98" t="s">
        <v>529</v>
      </c>
      <c r="H98" t="s">
        <v>530</v>
      </c>
      <c r="I98" s="59">
        <f>_xlfn.IFNA(VLOOKUP(A98,'619'!D:F,3,FALSE),0)</f>
        <v>471.73</v>
      </c>
      <c r="J98" s="59">
        <f>_xlfn.IFNA(VLOOKUP(A98,'619'!D:Q,14,FALSE),0)</f>
        <v>0</v>
      </c>
      <c r="K98" s="59">
        <f>_xlfn.IFNA(VLOOKUP(A98,'619'!D:Q,14,FALSE),0)</f>
        <v>0</v>
      </c>
      <c r="O98" t="s">
        <v>531</v>
      </c>
      <c r="P98" t="str">
        <f>_xlfn.IFNA(VLOOKUP(A98,IndirectCost!B:L,11,FALSE),"")</f>
        <v/>
      </c>
      <c r="Q98">
        <f t="shared" si="1"/>
        <v>0</v>
      </c>
    </row>
    <row r="99" spans="1:17">
      <c r="A99" t="s">
        <v>112</v>
      </c>
      <c r="B99" t="s">
        <v>652</v>
      </c>
      <c r="C99" t="str">
        <f>VLOOKUP(A99,Districts!A:I,9,FALSE)</f>
        <v>BASIS CHARTER SCHOOLS, INC.</v>
      </c>
      <c r="D99" t="str">
        <f>VLOOKUP(A99,Districts!A:P,16,FALSE)</f>
        <v>GX9HBMXHK9W8</v>
      </c>
      <c r="F99" s="1">
        <v>45200</v>
      </c>
      <c r="G99" t="s">
        <v>529</v>
      </c>
      <c r="H99" t="s">
        <v>530</v>
      </c>
      <c r="I99" s="59">
        <f>_xlfn.IFNA(VLOOKUP(A99,'619'!D:F,3,FALSE),0)</f>
        <v>2597.31</v>
      </c>
      <c r="J99" s="59">
        <f>_xlfn.IFNA(VLOOKUP(A99,'619'!D:Q,14,FALSE),0)</f>
        <v>0</v>
      </c>
      <c r="K99" s="59">
        <f>_xlfn.IFNA(VLOOKUP(A99,'619'!D:Q,14,FALSE),0)</f>
        <v>0</v>
      </c>
      <c r="O99" t="s">
        <v>531</v>
      </c>
      <c r="P99" t="str">
        <f>_xlfn.IFNA(VLOOKUP(A99,IndirectCost!B:L,11,FALSE),"")</f>
        <v/>
      </c>
      <c r="Q99">
        <f t="shared" si="1"/>
        <v>0</v>
      </c>
    </row>
    <row r="100" spans="1:17">
      <c r="A100" t="s">
        <v>654</v>
      </c>
      <c r="B100" t="s">
        <v>652</v>
      </c>
      <c r="C100" t="str">
        <f>VLOOKUP(A100,Districts!A:I,9,FALSE)</f>
        <v>BASIS CHARTER SCHOOLS, INC.</v>
      </c>
      <c r="D100" t="str">
        <f>VLOOKUP(A100,Districts!A:P,16,FALSE)</f>
        <v>GX9HBMXHK9W8</v>
      </c>
      <c r="F100" s="1">
        <v>45200</v>
      </c>
      <c r="G100" t="s">
        <v>529</v>
      </c>
      <c r="H100" t="s">
        <v>530</v>
      </c>
      <c r="I100" s="59">
        <f>_xlfn.IFNA(VLOOKUP(A100,'619'!D:F,3,FALSE),0)</f>
        <v>0</v>
      </c>
      <c r="J100" s="59">
        <f>_xlfn.IFNA(VLOOKUP(A100,'619'!D:Q,14,FALSE),0)</f>
        <v>0</v>
      </c>
      <c r="K100" s="59">
        <f>_xlfn.IFNA(VLOOKUP(A100,'619'!D:Q,14,FALSE),0)</f>
        <v>0</v>
      </c>
      <c r="O100" t="s">
        <v>531</v>
      </c>
      <c r="P100" t="str">
        <f>_xlfn.IFNA(VLOOKUP(A100,IndirectCost!B:L,11,FALSE),"")</f>
        <v/>
      </c>
      <c r="Q100">
        <f t="shared" si="1"/>
        <v>0</v>
      </c>
    </row>
    <row r="101" spans="1:17">
      <c r="A101" t="s">
        <v>655</v>
      </c>
      <c r="B101" t="s">
        <v>652</v>
      </c>
      <c r="C101" t="str">
        <f>VLOOKUP(A101,Districts!A:I,9,FALSE)</f>
        <v>BASIS CHARTER SCHOOLS, INC.</v>
      </c>
      <c r="D101" t="str">
        <f>VLOOKUP(A101,Districts!A:P,16,FALSE)</f>
        <v>GX9HBMXHK9W8</v>
      </c>
      <c r="F101" s="1">
        <v>45200</v>
      </c>
      <c r="G101" t="s">
        <v>529</v>
      </c>
      <c r="H101" t="s">
        <v>530</v>
      </c>
      <c r="I101" s="59">
        <f>_xlfn.IFNA(VLOOKUP(A101,'619'!D:F,3,FALSE),0)</f>
        <v>0</v>
      </c>
      <c r="J101" s="59">
        <f>_xlfn.IFNA(VLOOKUP(A101,'619'!D:Q,14,FALSE),0)</f>
        <v>0</v>
      </c>
      <c r="K101" s="59">
        <f>_xlfn.IFNA(VLOOKUP(A101,'619'!D:Q,14,FALSE),0)</f>
        <v>0</v>
      </c>
      <c r="O101" t="s">
        <v>531</v>
      </c>
      <c r="P101" t="str">
        <f>_xlfn.IFNA(VLOOKUP(A101,IndirectCost!B:L,11,FALSE),"")</f>
        <v/>
      </c>
      <c r="Q101">
        <f t="shared" si="1"/>
        <v>0</v>
      </c>
    </row>
    <row r="102" spans="1:17">
      <c r="A102" t="s">
        <v>103</v>
      </c>
      <c r="B102" t="s">
        <v>652</v>
      </c>
      <c r="C102" t="str">
        <f>VLOOKUP(A102,Districts!A:I,9,FALSE)</f>
        <v>BASIS CHARTER SCHOOLS, INC.</v>
      </c>
      <c r="D102" t="str">
        <f>VLOOKUP(A102,Districts!A:P,16,FALSE)</f>
        <v>GX9HBMXHK9W8</v>
      </c>
      <c r="F102" s="1">
        <v>45200</v>
      </c>
      <c r="G102" t="s">
        <v>529</v>
      </c>
      <c r="H102" t="s">
        <v>530</v>
      </c>
      <c r="I102" s="59">
        <f>_xlfn.IFNA(VLOOKUP(A102,'619'!D:F,3,FALSE),0)</f>
        <v>815.29</v>
      </c>
      <c r="J102" s="59">
        <f>_xlfn.IFNA(VLOOKUP(A102,'619'!D:Q,14,FALSE),0)</f>
        <v>0</v>
      </c>
      <c r="K102" s="59">
        <f>_xlfn.IFNA(VLOOKUP(A102,'619'!D:Q,14,FALSE),0)</f>
        <v>0</v>
      </c>
      <c r="O102" t="s">
        <v>531</v>
      </c>
      <c r="P102" t="str">
        <f>_xlfn.IFNA(VLOOKUP(A102,IndirectCost!B:L,11,FALSE),"")</f>
        <v/>
      </c>
      <c r="Q102">
        <f t="shared" si="1"/>
        <v>0</v>
      </c>
    </row>
    <row r="103" spans="1:17">
      <c r="A103" t="s">
        <v>110</v>
      </c>
      <c r="B103" t="s">
        <v>652</v>
      </c>
      <c r="C103" t="str">
        <f>VLOOKUP(A103,Districts!A:I,9,FALSE)</f>
        <v>BASIS CHARTER SCHOOLS, INC.</v>
      </c>
      <c r="D103" t="str">
        <f>VLOOKUP(A103,Districts!A:P,16,FALSE)</f>
        <v>GX9HBMXHK9W8</v>
      </c>
      <c r="F103" s="1">
        <v>45200</v>
      </c>
      <c r="G103" t="s">
        <v>529</v>
      </c>
      <c r="H103" t="s">
        <v>530</v>
      </c>
      <c r="I103" s="59">
        <f>_xlfn.IFNA(VLOOKUP(A103,'619'!D:F,3,FALSE),0)</f>
        <v>930.2</v>
      </c>
      <c r="J103" s="59">
        <f>_xlfn.IFNA(VLOOKUP(A103,'619'!D:Q,14,FALSE),0)</f>
        <v>0</v>
      </c>
      <c r="K103" s="59">
        <f>_xlfn.IFNA(VLOOKUP(A103,'619'!D:Q,14,FALSE),0)</f>
        <v>0</v>
      </c>
      <c r="O103" t="s">
        <v>531</v>
      </c>
      <c r="P103" t="str">
        <f>_xlfn.IFNA(VLOOKUP(A103,IndirectCost!B:L,11,FALSE),"")</f>
        <v/>
      </c>
      <c r="Q103">
        <f t="shared" si="1"/>
        <v>0</v>
      </c>
    </row>
    <row r="104" spans="1:17">
      <c r="A104" t="s">
        <v>108</v>
      </c>
      <c r="B104" t="s">
        <v>652</v>
      </c>
      <c r="C104" t="str">
        <f>VLOOKUP(A104,Districts!A:I,9,FALSE)</f>
        <v>BASIS CHARTER SCHOOLS, INC.</v>
      </c>
      <c r="D104" t="str">
        <f>VLOOKUP(A104,Districts!A:P,16,FALSE)</f>
        <v>GX9HBMXHK9W8</v>
      </c>
      <c r="F104" s="1">
        <v>45200</v>
      </c>
      <c r="G104" t="s">
        <v>529</v>
      </c>
      <c r="H104" t="s">
        <v>530</v>
      </c>
      <c r="I104" s="59">
        <f>_xlfn.IFNA(VLOOKUP(A104,'619'!D:F,3,FALSE),0)</f>
        <v>1695.59</v>
      </c>
      <c r="J104" s="59">
        <f>_xlfn.IFNA(VLOOKUP(A104,'619'!D:Q,14,FALSE),0)</f>
        <v>0</v>
      </c>
      <c r="K104" s="59">
        <f>_xlfn.IFNA(VLOOKUP(A104,'619'!D:Q,14,FALSE),0)</f>
        <v>0</v>
      </c>
      <c r="O104" t="s">
        <v>531</v>
      </c>
      <c r="P104" t="str">
        <f>_xlfn.IFNA(VLOOKUP(A104,IndirectCost!B:L,11,FALSE),"")</f>
        <v/>
      </c>
      <c r="Q104">
        <f t="shared" si="1"/>
        <v>0</v>
      </c>
    </row>
    <row r="105" spans="1:17">
      <c r="A105" t="s">
        <v>107</v>
      </c>
      <c r="B105" t="s">
        <v>652</v>
      </c>
      <c r="C105" t="str">
        <f>VLOOKUP(A105,Districts!A:I,9,FALSE)</f>
        <v>BASIS CHARTER SCHOOLS, INC.</v>
      </c>
      <c r="D105" t="str">
        <f>VLOOKUP(A105,Districts!A:P,16,FALSE)</f>
        <v>GX9HBMXHK9W8</v>
      </c>
      <c r="F105" s="1">
        <v>45200</v>
      </c>
      <c r="G105" t="s">
        <v>529</v>
      </c>
      <c r="H105" t="s">
        <v>530</v>
      </c>
      <c r="I105" s="59">
        <f>_xlfn.IFNA(VLOOKUP(A105,'619'!D:F,3,FALSE),0)</f>
        <v>407.09</v>
      </c>
      <c r="J105" s="59">
        <f>_xlfn.IFNA(VLOOKUP(A105,'619'!D:Q,14,FALSE),0)</f>
        <v>0</v>
      </c>
      <c r="K105" s="59">
        <f>_xlfn.IFNA(VLOOKUP(A105,'619'!D:Q,14,FALSE),0)</f>
        <v>0</v>
      </c>
      <c r="O105" t="s">
        <v>531</v>
      </c>
      <c r="P105" t="str">
        <f>_xlfn.IFNA(VLOOKUP(A105,IndirectCost!B:L,11,FALSE),"")</f>
        <v/>
      </c>
      <c r="Q105">
        <f t="shared" si="1"/>
        <v>0</v>
      </c>
    </row>
    <row r="106" spans="1:17">
      <c r="A106" t="s">
        <v>106</v>
      </c>
      <c r="B106" t="s">
        <v>652</v>
      </c>
      <c r="C106" t="str">
        <f>VLOOKUP(A106,Districts!A:I,9,FALSE)</f>
        <v>BASIS CHARTER SCHOOLS, INC.</v>
      </c>
      <c r="D106" t="str">
        <f>VLOOKUP(A106,Districts!A:P,16,FALSE)</f>
        <v>GX9HBMXHK9W8</v>
      </c>
      <c r="F106" s="1">
        <v>45200</v>
      </c>
      <c r="G106" t="s">
        <v>529</v>
      </c>
      <c r="H106" t="s">
        <v>530</v>
      </c>
      <c r="I106" s="59">
        <f>_xlfn.IFNA(VLOOKUP(A106,'619'!D:F,3,FALSE),0)</f>
        <v>391.75</v>
      </c>
      <c r="J106" s="59">
        <f>_xlfn.IFNA(VLOOKUP(A106,'619'!D:Q,14,FALSE),0)</f>
        <v>0</v>
      </c>
      <c r="K106" s="59">
        <f>_xlfn.IFNA(VLOOKUP(A106,'619'!D:Q,14,FALSE),0)</f>
        <v>0</v>
      </c>
      <c r="O106" t="s">
        <v>531</v>
      </c>
      <c r="P106" t="str">
        <f>_xlfn.IFNA(VLOOKUP(A106,IndirectCost!B:L,11,FALSE),"")</f>
        <v/>
      </c>
      <c r="Q106">
        <f t="shared" si="1"/>
        <v>0</v>
      </c>
    </row>
    <row r="107" spans="1:17">
      <c r="A107" t="s">
        <v>656</v>
      </c>
      <c r="B107" t="s">
        <v>652</v>
      </c>
      <c r="C107" t="str">
        <f>VLOOKUP(A107,Districts!A:I,9,FALSE)</f>
        <v>BASIS CHARTER SCHOOLS, INC.</v>
      </c>
      <c r="D107" t="str">
        <f>VLOOKUP(A107,Districts!A:P,16,FALSE)</f>
        <v>GX9HBMXHK9W8</v>
      </c>
      <c r="F107" s="1">
        <v>45200</v>
      </c>
      <c r="G107" t="s">
        <v>529</v>
      </c>
      <c r="H107" t="s">
        <v>530</v>
      </c>
      <c r="I107" s="59">
        <f>_xlfn.IFNA(VLOOKUP(A107,'619'!D:F,3,FALSE),0)</f>
        <v>0</v>
      </c>
      <c r="J107" s="59">
        <f>_xlfn.IFNA(VLOOKUP(A107,'619'!D:Q,14,FALSE),0)</f>
        <v>0</v>
      </c>
      <c r="K107" s="59">
        <f>_xlfn.IFNA(VLOOKUP(A107,'619'!D:Q,14,FALSE),0)</f>
        <v>0</v>
      </c>
      <c r="O107" t="s">
        <v>531</v>
      </c>
      <c r="P107" t="str">
        <f>_xlfn.IFNA(VLOOKUP(A107,IndirectCost!B:L,11,FALSE),"")</f>
        <v/>
      </c>
      <c r="Q107">
        <f t="shared" si="1"/>
        <v>0</v>
      </c>
    </row>
    <row r="108" spans="1:17">
      <c r="A108" t="s">
        <v>111</v>
      </c>
      <c r="B108" t="s">
        <v>652</v>
      </c>
      <c r="C108" t="str">
        <f>VLOOKUP(A108,Districts!A:I,9,FALSE)</f>
        <v>BASIS CHARTER SCHOOLS, INC.</v>
      </c>
      <c r="D108" t="str">
        <f>VLOOKUP(A108,Districts!A:P,16,FALSE)</f>
        <v>GX9HBMXHK9W8</v>
      </c>
      <c r="F108" s="1">
        <v>45200</v>
      </c>
      <c r="G108" t="s">
        <v>529</v>
      </c>
      <c r="H108" t="s">
        <v>530</v>
      </c>
      <c r="I108" s="59">
        <f>_xlfn.IFNA(VLOOKUP(A108,'619'!D:F,3,FALSE),0)</f>
        <v>1219.47</v>
      </c>
      <c r="J108" s="59">
        <f>_xlfn.IFNA(VLOOKUP(A108,'619'!D:Q,14,FALSE),0)</f>
        <v>0</v>
      </c>
      <c r="K108" s="59">
        <f>_xlfn.IFNA(VLOOKUP(A108,'619'!D:Q,14,FALSE),0)</f>
        <v>0</v>
      </c>
      <c r="O108" t="s">
        <v>531</v>
      </c>
      <c r="P108" t="str">
        <f>_xlfn.IFNA(VLOOKUP(A108,IndirectCost!B:L,11,FALSE),"")</f>
        <v/>
      </c>
      <c r="Q108">
        <f t="shared" si="1"/>
        <v>0</v>
      </c>
    </row>
    <row r="109" spans="1:17">
      <c r="A109" t="s">
        <v>104</v>
      </c>
      <c r="B109" t="s">
        <v>652</v>
      </c>
      <c r="C109" t="str">
        <f>VLOOKUP(A109,Districts!A:I,9,FALSE)</f>
        <v>BASIS CHARTER SCHOOLS, INC.</v>
      </c>
      <c r="D109" t="str">
        <f>VLOOKUP(A109,Districts!A:P,16,FALSE)</f>
        <v>GX9HBMXHK9W8</v>
      </c>
      <c r="F109" s="1">
        <v>45200</v>
      </c>
      <c r="G109" t="s">
        <v>529</v>
      </c>
      <c r="H109" t="s">
        <v>530</v>
      </c>
      <c r="I109" s="59">
        <f>_xlfn.IFNA(VLOOKUP(A109,'619'!D:F,3,FALSE),0)</f>
        <v>443.02</v>
      </c>
      <c r="J109" s="59">
        <f>_xlfn.IFNA(VLOOKUP(A109,'619'!D:Q,14,FALSE),0)</f>
        <v>0</v>
      </c>
      <c r="K109" s="59">
        <f>_xlfn.IFNA(VLOOKUP(A109,'619'!D:Q,14,FALSE),0)</f>
        <v>0</v>
      </c>
      <c r="O109" t="s">
        <v>531</v>
      </c>
      <c r="P109" t="str">
        <f>_xlfn.IFNA(VLOOKUP(A109,IndirectCost!B:L,11,FALSE),"")</f>
        <v/>
      </c>
      <c r="Q109">
        <f t="shared" si="1"/>
        <v>0</v>
      </c>
    </row>
    <row r="110" spans="1:17">
      <c r="A110" t="s">
        <v>109</v>
      </c>
      <c r="B110" t="s">
        <v>652</v>
      </c>
      <c r="C110" t="str">
        <f>VLOOKUP(A110,Districts!A:I,9,FALSE)</f>
        <v>BASIS CHARTER SCHOOLS, INC.</v>
      </c>
      <c r="D110" t="str">
        <f>VLOOKUP(A110,Districts!A:P,16,FALSE)</f>
        <v>GX9HBMXHK9W8</v>
      </c>
      <c r="F110" s="1">
        <v>45200</v>
      </c>
      <c r="G110" t="s">
        <v>529</v>
      </c>
      <c r="H110" t="s">
        <v>530</v>
      </c>
      <c r="I110" s="59">
        <f>_xlfn.IFNA(VLOOKUP(A110,'619'!D:F,3,FALSE),0)</f>
        <v>466.07</v>
      </c>
      <c r="J110" s="59">
        <f>_xlfn.IFNA(VLOOKUP(A110,'619'!D:Q,14,FALSE),0)</f>
        <v>0</v>
      </c>
      <c r="K110" s="59">
        <f>_xlfn.IFNA(VLOOKUP(A110,'619'!D:Q,14,FALSE),0)</f>
        <v>0</v>
      </c>
      <c r="O110" t="s">
        <v>531</v>
      </c>
      <c r="P110" t="str">
        <f>_xlfn.IFNA(VLOOKUP(A110,IndirectCost!B:L,11,FALSE),"")</f>
        <v/>
      </c>
      <c r="Q110">
        <f t="shared" si="1"/>
        <v>0</v>
      </c>
    </row>
    <row r="111" spans="1:17">
      <c r="A111" t="s">
        <v>105</v>
      </c>
      <c r="B111" t="s">
        <v>652</v>
      </c>
      <c r="C111" t="str">
        <f>VLOOKUP(A111,Districts!A:I,9,FALSE)</f>
        <v>BASIS CHARTER SCHOOLS, INC.</v>
      </c>
      <c r="D111" t="str">
        <f>VLOOKUP(A111,Districts!A:P,16,FALSE)</f>
        <v>GX9HBMXHK9W8</v>
      </c>
      <c r="F111" s="1">
        <v>45200</v>
      </c>
      <c r="G111" t="s">
        <v>529</v>
      </c>
      <c r="H111" t="s">
        <v>530</v>
      </c>
      <c r="I111" s="59">
        <f>_xlfn.IFNA(VLOOKUP(A111,'619'!D:F,3,FALSE),0)</f>
        <v>1275.3800000000001</v>
      </c>
      <c r="J111" s="59">
        <f>_xlfn.IFNA(VLOOKUP(A111,'619'!D:Q,14,FALSE),0)</f>
        <v>0</v>
      </c>
      <c r="K111" s="59">
        <f>_xlfn.IFNA(VLOOKUP(A111,'619'!D:Q,14,FALSE),0)</f>
        <v>0</v>
      </c>
      <c r="O111" t="s">
        <v>531</v>
      </c>
      <c r="P111" t="str">
        <f>_xlfn.IFNA(VLOOKUP(A111,IndirectCost!B:L,11,FALSE),"")</f>
        <v/>
      </c>
      <c r="Q111">
        <f t="shared" si="1"/>
        <v>0</v>
      </c>
    </row>
    <row r="112" spans="1:17">
      <c r="A112" t="s">
        <v>657</v>
      </c>
      <c r="B112" t="s">
        <v>652</v>
      </c>
      <c r="C112" t="str">
        <f>VLOOKUP(A112,Districts!A:I,9,FALSE)</f>
        <v>BASIS CHARTER SCHOOLS, INC.</v>
      </c>
      <c r="D112" t="str">
        <f>VLOOKUP(A112,Districts!A:P,16,FALSE)</f>
        <v>GX9HBMXHK9W8</v>
      </c>
      <c r="F112" s="1">
        <v>45200</v>
      </c>
      <c r="G112" t="s">
        <v>529</v>
      </c>
      <c r="H112" t="s">
        <v>530</v>
      </c>
      <c r="I112" s="59">
        <f>_xlfn.IFNA(VLOOKUP(A112,'619'!D:F,3,FALSE),0)</f>
        <v>0</v>
      </c>
      <c r="J112" s="59">
        <f>_xlfn.IFNA(VLOOKUP(A112,'619'!D:Q,14,FALSE),0)</f>
        <v>0</v>
      </c>
      <c r="K112" s="59">
        <f>_xlfn.IFNA(VLOOKUP(A112,'619'!D:Q,14,FALSE),0)</f>
        <v>0</v>
      </c>
      <c r="O112" t="s">
        <v>531</v>
      </c>
      <c r="P112" t="str">
        <f>_xlfn.IFNA(VLOOKUP(A112,IndirectCost!B:L,11,FALSE),"")</f>
        <v/>
      </c>
      <c r="Q112">
        <f t="shared" si="1"/>
        <v>0</v>
      </c>
    </row>
    <row r="113" spans="1:17">
      <c r="A113" t="s">
        <v>101</v>
      </c>
      <c r="B113" t="s">
        <v>652</v>
      </c>
      <c r="C113" t="str">
        <f>VLOOKUP(A113,Districts!A:I,9,FALSE)</f>
        <v>BASIS CHARTER SCHOOLS, INC.</v>
      </c>
      <c r="D113" t="str">
        <f>VLOOKUP(A113,Districts!A:P,16,FALSE)</f>
        <v>GX9HBMXHK9W8</v>
      </c>
      <c r="F113" s="1">
        <v>45200</v>
      </c>
      <c r="G113" t="s">
        <v>529</v>
      </c>
      <c r="H113" t="s">
        <v>530</v>
      </c>
      <c r="I113" s="59">
        <f>_xlfn.IFNA(VLOOKUP(A113,'619'!D:F,3,FALSE),0)</f>
        <v>668.59</v>
      </c>
      <c r="J113" s="59">
        <f>_xlfn.IFNA(VLOOKUP(A113,'619'!D:Q,14,FALSE),0)</f>
        <v>0</v>
      </c>
      <c r="K113" s="59">
        <f>_xlfn.IFNA(VLOOKUP(A113,'619'!D:Q,14,FALSE),0)</f>
        <v>0</v>
      </c>
      <c r="O113" t="s">
        <v>531</v>
      </c>
      <c r="P113" t="str">
        <f>_xlfn.IFNA(VLOOKUP(A113,IndirectCost!B:L,11,FALSE),"")</f>
        <v/>
      </c>
      <c r="Q113">
        <f t="shared" si="1"/>
        <v>0</v>
      </c>
    </row>
    <row r="114" spans="1:17">
      <c r="A114" t="s">
        <v>658</v>
      </c>
      <c r="B114" t="s">
        <v>652</v>
      </c>
      <c r="C114" t="str">
        <f>VLOOKUP(A114,Districts!A:I,9,FALSE)</f>
        <v>BASIS CHARTER SCHOOLS, INC.</v>
      </c>
      <c r="D114" t="str">
        <f>VLOOKUP(A114,Districts!A:P,16,FALSE)</f>
        <v>GX9HBMXHK9W8</v>
      </c>
      <c r="F114" s="1">
        <v>45200</v>
      </c>
      <c r="G114" t="s">
        <v>529</v>
      </c>
      <c r="H114" t="s">
        <v>530</v>
      </c>
      <c r="I114" s="59">
        <f>_xlfn.IFNA(VLOOKUP(A114,'619'!D:F,3,FALSE),0)</f>
        <v>0</v>
      </c>
      <c r="J114" s="59">
        <f>_xlfn.IFNA(VLOOKUP(A114,'619'!D:Q,14,FALSE),0)</f>
        <v>0</v>
      </c>
      <c r="K114" s="59">
        <f>_xlfn.IFNA(VLOOKUP(A114,'619'!D:Q,14,FALSE),0)</f>
        <v>0</v>
      </c>
      <c r="O114" t="s">
        <v>531</v>
      </c>
      <c r="P114" t="str">
        <f>_xlfn.IFNA(VLOOKUP(A114,IndirectCost!B:L,11,FALSE),"")</f>
        <v/>
      </c>
      <c r="Q114">
        <f t="shared" si="1"/>
        <v>0</v>
      </c>
    </row>
    <row r="115" spans="1:17">
      <c r="A115" t="s">
        <v>113</v>
      </c>
      <c r="B115" t="s">
        <v>652</v>
      </c>
      <c r="C115" t="str">
        <f>VLOOKUP(A115,Districts!A:I,9,FALSE)</f>
        <v>BASIS CHARTER SCHOOLS, INC.</v>
      </c>
      <c r="D115" t="str">
        <f>VLOOKUP(A115,Districts!A:P,16,FALSE)</f>
        <v>GX9HBMXHK9W8</v>
      </c>
      <c r="F115" s="1">
        <v>45200</v>
      </c>
      <c r="G115" t="s">
        <v>529</v>
      </c>
      <c r="H115" t="s">
        <v>530</v>
      </c>
      <c r="I115" s="59">
        <f>_xlfn.IFNA(VLOOKUP(A115,'619'!D:F,3,FALSE),0)</f>
        <v>1760.78</v>
      </c>
      <c r="J115" s="59">
        <f>_xlfn.IFNA(VLOOKUP(A115,'619'!D:Q,14,FALSE),0)</f>
        <v>0</v>
      </c>
      <c r="K115" s="59">
        <f>_xlfn.IFNA(VLOOKUP(A115,'619'!D:Q,14,FALSE),0)</f>
        <v>0</v>
      </c>
      <c r="O115" t="s">
        <v>531</v>
      </c>
      <c r="P115" t="str">
        <f>_xlfn.IFNA(VLOOKUP(A115,IndirectCost!B:L,11,FALSE),"")</f>
        <v/>
      </c>
      <c r="Q115">
        <f t="shared" si="1"/>
        <v>0</v>
      </c>
    </row>
    <row r="116" spans="1:17">
      <c r="A116" t="s">
        <v>102</v>
      </c>
      <c r="B116" t="s">
        <v>652</v>
      </c>
      <c r="C116" t="str">
        <f>VLOOKUP(A116,Districts!A:I,9,FALSE)</f>
        <v>BASIS CHARTER SCHOOLS, INC.</v>
      </c>
      <c r="D116" t="str">
        <f>VLOOKUP(A116,Districts!A:P,16,FALSE)</f>
        <v>GX9HBMXHK9W8</v>
      </c>
      <c r="F116" s="1">
        <v>45200</v>
      </c>
      <c r="G116" t="s">
        <v>529</v>
      </c>
      <c r="H116" t="s">
        <v>530</v>
      </c>
      <c r="I116" s="59">
        <f>_xlfn.IFNA(VLOOKUP(A116,'619'!D:F,3,FALSE),0)</f>
        <v>492.21</v>
      </c>
      <c r="J116" s="59">
        <f>_xlfn.IFNA(VLOOKUP(A116,'619'!D:Q,14,FALSE),0)</f>
        <v>0</v>
      </c>
      <c r="K116" s="59">
        <f>_xlfn.IFNA(VLOOKUP(A116,'619'!D:Q,14,FALSE),0)</f>
        <v>0</v>
      </c>
      <c r="O116" t="s">
        <v>531</v>
      </c>
      <c r="P116" t="str">
        <f>_xlfn.IFNA(VLOOKUP(A116,IndirectCost!B:L,11,FALSE),"")</f>
        <v/>
      </c>
      <c r="Q116">
        <f t="shared" si="1"/>
        <v>0</v>
      </c>
    </row>
    <row r="117" spans="1:17">
      <c r="A117" t="s">
        <v>659</v>
      </c>
      <c r="B117" t="s">
        <v>652</v>
      </c>
      <c r="C117" t="str">
        <f>VLOOKUP(A117,Districts!A:I,9,FALSE)</f>
        <v>BASIS CHARTER SCHOOLS, INC.</v>
      </c>
      <c r="D117" t="str">
        <f>VLOOKUP(A117,Districts!A:P,16,FALSE)</f>
        <v>GX9HBMXHK9W8</v>
      </c>
      <c r="F117" s="1">
        <v>45200</v>
      </c>
      <c r="G117" t="s">
        <v>529</v>
      </c>
      <c r="H117" t="s">
        <v>530</v>
      </c>
      <c r="I117" s="59">
        <f>_xlfn.IFNA(VLOOKUP(A117,'619'!D:F,3,FALSE),0)</f>
        <v>0</v>
      </c>
      <c r="J117" s="59">
        <f>_xlfn.IFNA(VLOOKUP(A117,'619'!D:Q,14,FALSE),0)</f>
        <v>0</v>
      </c>
      <c r="K117" s="59">
        <f>_xlfn.IFNA(VLOOKUP(A117,'619'!D:Q,14,FALSE),0)</f>
        <v>0</v>
      </c>
      <c r="O117" t="s">
        <v>531</v>
      </c>
      <c r="P117" t="str">
        <f>_xlfn.IFNA(VLOOKUP(A117,IndirectCost!B:L,11,FALSE),"")</f>
        <v/>
      </c>
      <c r="Q117">
        <f t="shared" si="1"/>
        <v>0</v>
      </c>
    </row>
    <row r="118" spans="1:17">
      <c r="A118" t="s">
        <v>115</v>
      </c>
      <c r="B118" t="s">
        <v>660</v>
      </c>
      <c r="C118" t="str">
        <f>VLOOKUP(A118,Districts!A:I,9,FALSE)</f>
        <v>Beaver Creek Elementary School District 026</v>
      </c>
      <c r="D118" t="str">
        <f>VLOOKUP(A118,Districts!A:P,16,FALSE)</f>
        <v>UM19HURP9S87</v>
      </c>
      <c r="F118" s="1">
        <v>45200</v>
      </c>
      <c r="G118" t="s">
        <v>529</v>
      </c>
      <c r="H118" t="s">
        <v>530</v>
      </c>
      <c r="I118" s="59">
        <f>_xlfn.IFNA(VLOOKUP(A118,'619'!D:F,3,FALSE),0)</f>
        <v>735.92</v>
      </c>
      <c r="J118" s="59">
        <f>_xlfn.IFNA(VLOOKUP(A118,'619'!D:Q,14,FALSE),0)</f>
        <v>788.68</v>
      </c>
      <c r="K118" s="59">
        <f>_xlfn.IFNA(VLOOKUP(A118,'619'!D:Q,14,FALSE),0)</f>
        <v>788.68</v>
      </c>
      <c r="O118" t="s">
        <v>531</v>
      </c>
      <c r="P118">
        <f>_xlfn.IFNA(VLOOKUP(A118,IndirectCost!B:L,11,FALSE),"")</f>
        <v>7.54</v>
      </c>
      <c r="Q118">
        <f t="shared" si="1"/>
        <v>7.5399999999999995E-2</v>
      </c>
    </row>
    <row r="119" spans="1:17">
      <c r="A119" t="s">
        <v>116</v>
      </c>
      <c r="B119" t="s">
        <v>661</v>
      </c>
      <c r="C119" t="str">
        <f>VLOOKUP(A119,Districts!A:I,9,FALSE)</f>
        <v>Bell Canyon Charter School Inc</v>
      </c>
      <c r="D119" t="str">
        <f>VLOOKUP(A119,Districts!A:P,16,FALSE)</f>
        <v>HPHBNU7LJFM9</v>
      </c>
      <c r="F119" s="1">
        <v>45200</v>
      </c>
      <c r="G119" t="s">
        <v>529</v>
      </c>
      <c r="H119" t="s">
        <v>530</v>
      </c>
      <c r="I119" s="59">
        <f>_xlfn.IFNA(VLOOKUP(A119,'619'!D:F,3,FALSE),0)</f>
        <v>2304.19</v>
      </c>
      <c r="J119" s="59">
        <f>_xlfn.IFNA(VLOOKUP(A119,'619'!D:Q,14,FALSE),0)</f>
        <v>5794.1</v>
      </c>
      <c r="K119" s="59">
        <f>_xlfn.IFNA(VLOOKUP(A119,'619'!D:Q,14,FALSE),0)</f>
        <v>5794.1</v>
      </c>
      <c r="O119" t="s">
        <v>531</v>
      </c>
      <c r="P119" t="str">
        <f>_xlfn.IFNA(VLOOKUP(A119,IndirectCost!B:L,11,FALSE),"")</f>
        <v/>
      </c>
      <c r="Q119">
        <f t="shared" si="1"/>
        <v>0</v>
      </c>
    </row>
    <row r="120" spans="1:17">
      <c r="A120" t="s">
        <v>117</v>
      </c>
      <c r="B120" t="s">
        <v>662</v>
      </c>
      <c r="C120" t="str">
        <f>VLOOKUP(A120,Districts!A:I,9,FALSE)</f>
        <v>Benchmark School, Inc</v>
      </c>
      <c r="D120" t="str">
        <f>VLOOKUP(A120,Districts!A:P,16,FALSE)</f>
        <v>JZCQH6JQCJB9</v>
      </c>
      <c r="F120" s="1">
        <v>45200</v>
      </c>
      <c r="G120" t="s">
        <v>529</v>
      </c>
      <c r="H120" t="s">
        <v>530</v>
      </c>
      <c r="I120" s="59">
        <f>_xlfn.IFNA(VLOOKUP(A120,'619'!D:F,3,FALSE),0)</f>
        <v>947.97</v>
      </c>
      <c r="J120" s="59">
        <f>_xlfn.IFNA(VLOOKUP(A120,'619'!D:Q,14,FALSE),0)</f>
        <v>947.97</v>
      </c>
      <c r="K120" s="59">
        <f>_xlfn.IFNA(VLOOKUP(A120,'619'!D:Q,14,FALSE),0)</f>
        <v>947.97</v>
      </c>
      <c r="O120" t="s">
        <v>531</v>
      </c>
      <c r="P120" t="str">
        <f>_xlfn.IFNA(VLOOKUP(A120,IndirectCost!B:L,11,FALSE),"")</f>
        <v/>
      </c>
      <c r="Q120">
        <f t="shared" si="1"/>
        <v>0</v>
      </c>
    </row>
    <row r="121" spans="1:17">
      <c r="A121" t="s">
        <v>118</v>
      </c>
      <c r="B121" t="s">
        <v>663</v>
      </c>
      <c r="C121" t="str">
        <f>VLOOKUP(A121,Districts!A:I,9,FALSE)</f>
        <v>Benjamin Franklin Charter School</v>
      </c>
      <c r="D121" t="str">
        <f>VLOOKUP(A121,Districts!A:P,16,FALSE)</f>
        <v>MBJ1JFH9W4N9</v>
      </c>
      <c r="F121" s="1">
        <v>45200</v>
      </c>
      <c r="G121" t="s">
        <v>529</v>
      </c>
      <c r="H121" t="s">
        <v>530</v>
      </c>
      <c r="I121" s="59">
        <f>_xlfn.IFNA(VLOOKUP(A121,'619'!D:F,3,FALSE),0)</f>
        <v>3227.09</v>
      </c>
      <c r="J121" s="59">
        <f>_xlfn.IFNA(VLOOKUP(A121,'619'!D:Q,14,FALSE),0)</f>
        <v>3227.09</v>
      </c>
      <c r="K121" s="59">
        <f>_xlfn.IFNA(VLOOKUP(A121,'619'!D:Q,14,FALSE),0)</f>
        <v>3227.09</v>
      </c>
      <c r="O121" t="s">
        <v>531</v>
      </c>
      <c r="P121">
        <f>_xlfn.IFNA(VLOOKUP(A121,IndirectCost!B:L,11,FALSE),"")</f>
        <v>8</v>
      </c>
      <c r="Q121">
        <f t="shared" si="1"/>
        <v>0.08</v>
      </c>
    </row>
    <row r="122" spans="1:17">
      <c r="A122" t="s">
        <v>119</v>
      </c>
      <c r="B122" t="s">
        <v>664</v>
      </c>
      <c r="C122" t="str">
        <f>VLOOKUP(A122,Districts!A:I,9,FALSE)</f>
        <v>Benson Unified School District #9</v>
      </c>
      <c r="D122" t="str">
        <f>VLOOKUP(A122,Districts!A:P,16,FALSE)</f>
        <v>P3JEK2TYZNA3</v>
      </c>
      <c r="F122" s="1">
        <v>45200</v>
      </c>
      <c r="G122" t="s">
        <v>529</v>
      </c>
      <c r="H122" t="s">
        <v>530</v>
      </c>
      <c r="I122" s="59">
        <f>_xlfn.IFNA(VLOOKUP(A122,'619'!D:F,3,FALSE),0)</f>
        <v>4589.93</v>
      </c>
      <c r="J122" s="59">
        <f>_xlfn.IFNA(VLOOKUP(A122,'619'!D:Q,14,FALSE),0)</f>
        <v>5594</v>
      </c>
      <c r="K122" s="59">
        <f>_xlfn.IFNA(VLOOKUP(A122,'619'!D:Q,14,FALSE),0)</f>
        <v>5594</v>
      </c>
      <c r="O122" t="s">
        <v>531</v>
      </c>
      <c r="P122" t="str">
        <f>_xlfn.IFNA(VLOOKUP(A122,IndirectCost!B:L,11,FALSE),"")</f>
        <v/>
      </c>
      <c r="Q122">
        <f t="shared" si="1"/>
        <v>0</v>
      </c>
    </row>
    <row r="123" spans="1:17">
      <c r="A123" t="s">
        <v>665</v>
      </c>
      <c r="B123" t="s">
        <v>666</v>
      </c>
      <c r="C123" t="str">
        <f>VLOOKUP(A123,Districts!A:I,9,FALSE)</f>
        <v>BICENTENNIAL UNION HIGH SCHOOL DISTRICT</v>
      </c>
      <c r="D123" t="str">
        <f>VLOOKUP(A123,Districts!A:P,16,FALSE)</f>
        <v>JHJBUG95NZ36</v>
      </c>
      <c r="F123" s="1">
        <v>45200</v>
      </c>
      <c r="G123" t="s">
        <v>529</v>
      </c>
      <c r="H123" t="s">
        <v>530</v>
      </c>
      <c r="I123" s="59">
        <f>_xlfn.IFNA(VLOOKUP(A123,'619'!D:F,3,FALSE),0)</f>
        <v>0</v>
      </c>
      <c r="J123" s="59">
        <f>_xlfn.IFNA(VLOOKUP(A123,'619'!D:Q,14,FALSE),0)</f>
        <v>0</v>
      </c>
      <c r="K123" s="59">
        <f>_xlfn.IFNA(VLOOKUP(A123,'619'!D:Q,14,FALSE),0)</f>
        <v>0</v>
      </c>
      <c r="O123" t="s">
        <v>531</v>
      </c>
      <c r="P123">
        <f>_xlfn.IFNA(VLOOKUP(A123,IndirectCost!B:L,11,FALSE),"")</f>
        <v>8</v>
      </c>
      <c r="Q123">
        <f t="shared" si="1"/>
        <v>0.08</v>
      </c>
    </row>
    <row r="124" spans="1:17">
      <c r="A124" t="s">
        <v>120</v>
      </c>
      <c r="B124" t="s">
        <v>667</v>
      </c>
      <c r="C124" t="str">
        <f>VLOOKUP(A124,Districts!A:I,9,FALSE)</f>
        <v>Bisbee Unified School District #2</v>
      </c>
      <c r="D124" t="str">
        <f>VLOOKUP(A124,Districts!A:P,16,FALSE)</f>
        <v>NBCLMCE4N4J7</v>
      </c>
      <c r="F124" s="1">
        <v>45200</v>
      </c>
      <c r="G124" t="s">
        <v>529</v>
      </c>
      <c r="H124" t="s">
        <v>530</v>
      </c>
      <c r="I124" s="59">
        <f>_xlfn.IFNA(VLOOKUP(A124,'619'!D:F,3,FALSE),0)</f>
        <v>1179.3699999999999</v>
      </c>
      <c r="J124" s="59">
        <f>_xlfn.IFNA(VLOOKUP(A124,'619'!D:Q,14,FALSE),0)</f>
        <v>1351.19</v>
      </c>
      <c r="K124" s="59">
        <f>_xlfn.IFNA(VLOOKUP(A124,'619'!D:Q,14,FALSE),0)</f>
        <v>1351.19</v>
      </c>
      <c r="O124" t="s">
        <v>531</v>
      </c>
      <c r="P124">
        <f>_xlfn.IFNA(VLOOKUP(A124,IndirectCost!B:L,11,FALSE),"")</f>
        <v>8</v>
      </c>
      <c r="Q124">
        <f t="shared" si="1"/>
        <v>0.08</v>
      </c>
    </row>
    <row r="125" spans="1:17">
      <c r="A125" t="s">
        <v>668</v>
      </c>
      <c r="B125" t="s">
        <v>669</v>
      </c>
      <c r="C125" t="str">
        <f>VLOOKUP(A125,Districts!A:I,9,FALSE)</f>
        <v>Blue Adobe Project</v>
      </c>
      <c r="D125" t="str">
        <f>VLOOKUP(A125,Districts!A:P,16,FALSE)</f>
        <v>F12NZNQA18L7</v>
      </c>
      <c r="F125" s="1">
        <v>45200</v>
      </c>
      <c r="G125" t="s">
        <v>529</v>
      </c>
      <c r="H125" t="s">
        <v>530</v>
      </c>
      <c r="I125" s="59">
        <f>_xlfn.IFNA(VLOOKUP(A125,'619'!D:F,3,FALSE),0)</f>
        <v>0</v>
      </c>
      <c r="J125" s="59">
        <f>_xlfn.IFNA(VLOOKUP(A125,'619'!D:Q,14,FALSE),0)</f>
        <v>0</v>
      </c>
      <c r="K125" s="59">
        <f>_xlfn.IFNA(VLOOKUP(A125,'619'!D:Q,14,FALSE),0)</f>
        <v>0</v>
      </c>
      <c r="O125" t="s">
        <v>531</v>
      </c>
      <c r="P125">
        <f>_xlfn.IFNA(VLOOKUP(A125,IndirectCost!B:L,11,FALSE),"")</f>
        <v>8</v>
      </c>
      <c r="Q125">
        <f t="shared" si="1"/>
        <v>0.08</v>
      </c>
    </row>
    <row r="126" spans="1:17">
      <c r="A126" t="s">
        <v>121</v>
      </c>
      <c r="B126" t="s">
        <v>670</v>
      </c>
      <c r="C126" t="str">
        <f>VLOOKUP(A126,Districts!A:I,9,FALSE)</f>
        <v>Blue Ridge School District</v>
      </c>
      <c r="D126" t="str">
        <f>VLOOKUP(A126,Districts!A:P,16,FALSE)</f>
        <v>YEKZAX5XCW35</v>
      </c>
      <c r="F126" s="1">
        <v>45200</v>
      </c>
      <c r="G126" t="s">
        <v>529</v>
      </c>
      <c r="H126" t="s">
        <v>530</v>
      </c>
      <c r="I126" s="59">
        <f>_xlfn.IFNA(VLOOKUP(A126,'619'!D:F,3,FALSE),0)</f>
        <v>10772.67</v>
      </c>
      <c r="J126" s="59">
        <f>_xlfn.IFNA(VLOOKUP(A126,'619'!D:Q,14,FALSE),0)</f>
        <v>10807.21</v>
      </c>
      <c r="K126" s="59">
        <f>_xlfn.IFNA(VLOOKUP(A126,'619'!D:Q,14,FALSE),0)</f>
        <v>10807.21</v>
      </c>
      <c r="O126" t="s">
        <v>531</v>
      </c>
      <c r="P126">
        <f>_xlfn.IFNA(VLOOKUP(A126,IndirectCost!B:L,11,FALSE),"")</f>
        <v>8</v>
      </c>
      <c r="Q126">
        <f t="shared" si="1"/>
        <v>0.08</v>
      </c>
    </row>
    <row r="127" spans="1:17">
      <c r="A127" t="s">
        <v>671</v>
      </c>
      <c r="B127" t="s">
        <v>672</v>
      </c>
      <c r="C127" t="str">
        <f>VLOOKUP(A127,Districts!A:I,9,FALSE)</f>
        <v>Blueprint Education Inc</v>
      </c>
      <c r="D127" t="str">
        <f>VLOOKUP(A127,Districts!A:P,16,FALSE)</f>
        <v>HDQRVUGMVPR9</v>
      </c>
      <c r="F127" s="1">
        <v>45200</v>
      </c>
      <c r="G127" t="s">
        <v>529</v>
      </c>
      <c r="H127" t="s">
        <v>530</v>
      </c>
      <c r="I127" s="59">
        <f>_xlfn.IFNA(VLOOKUP(A127,'619'!D:F,3,FALSE),0)</f>
        <v>0</v>
      </c>
      <c r="J127" s="59">
        <f>_xlfn.IFNA(VLOOKUP(A127,'619'!D:Q,14,FALSE),0)</f>
        <v>0</v>
      </c>
      <c r="K127" s="59">
        <f>_xlfn.IFNA(VLOOKUP(A127,'619'!D:Q,14,FALSE),0)</f>
        <v>0</v>
      </c>
      <c r="O127" t="s">
        <v>531</v>
      </c>
      <c r="P127" t="str">
        <f>_xlfn.IFNA(VLOOKUP(A127,IndirectCost!B:L,11,FALSE),"")</f>
        <v/>
      </c>
      <c r="Q127">
        <f t="shared" si="1"/>
        <v>0</v>
      </c>
    </row>
    <row r="128" spans="1:17">
      <c r="A128" t="s">
        <v>122</v>
      </c>
      <c r="B128" t="s">
        <v>673</v>
      </c>
      <c r="C128" t="str">
        <f>VLOOKUP(A128,Districts!A:I,9,FALSE)</f>
        <v>Bonita Elementary School District</v>
      </c>
      <c r="D128" t="str">
        <f>VLOOKUP(A128,Districts!A:P,16,FALSE)</f>
        <v>J996A1LHJ1F9</v>
      </c>
      <c r="F128" s="1">
        <v>45200</v>
      </c>
      <c r="G128" t="s">
        <v>529</v>
      </c>
      <c r="H128" t="s">
        <v>530</v>
      </c>
      <c r="I128" s="59">
        <f>_xlfn.IFNA(VLOOKUP(A128,'619'!D:F,3,FALSE),0)</f>
        <v>392.2</v>
      </c>
      <c r="J128" s="59">
        <f>_xlfn.IFNA(VLOOKUP(A128,'619'!D:Q,14,FALSE),0)</f>
        <v>0</v>
      </c>
      <c r="K128" s="59">
        <f>_xlfn.IFNA(VLOOKUP(A128,'619'!D:Q,14,FALSE),0)</f>
        <v>0</v>
      </c>
      <c r="O128" t="s">
        <v>531</v>
      </c>
      <c r="P128" t="str">
        <f>_xlfn.IFNA(VLOOKUP(A128,IndirectCost!B:L,11,FALSE),"")</f>
        <v/>
      </c>
      <c r="Q128">
        <f t="shared" si="1"/>
        <v>0</v>
      </c>
    </row>
    <row r="129" spans="1:17">
      <c r="A129" t="s">
        <v>123</v>
      </c>
      <c r="B129" t="s">
        <v>674</v>
      </c>
      <c r="C129" t="str">
        <f>VLOOKUP(A129,Districts!A:I,9,FALSE)</f>
        <v>Bouse Elementary School District</v>
      </c>
      <c r="D129" t="str">
        <f>VLOOKUP(A129,Districts!A:P,16,FALSE)</f>
        <v>S8N8FF66SJL5</v>
      </c>
      <c r="F129" s="1">
        <v>45200</v>
      </c>
      <c r="G129" t="s">
        <v>529</v>
      </c>
      <c r="H129" t="s">
        <v>530</v>
      </c>
      <c r="I129" s="59">
        <f>_xlfn.IFNA(VLOOKUP(A129,'619'!D:F,3,FALSE),0)</f>
        <v>368.04</v>
      </c>
      <c r="J129" s="59">
        <f>_xlfn.IFNA(VLOOKUP(A129,'619'!D:Q,14,FALSE),0)</f>
        <v>0</v>
      </c>
      <c r="K129" s="59">
        <f>_xlfn.IFNA(VLOOKUP(A129,'619'!D:Q,14,FALSE),0)</f>
        <v>0</v>
      </c>
      <c r="O129" t="s">
        <v>531</v>
      </c>
      <c r="P129" t="str">
        <f>_xlfn.IFNA(VLOOKUP(A129,IndirectCost!B:L,11,FALSE),"")</f>
        <v/>
      </c>
      <c r="Q129">
        <f t="shared" si="1"/>
        <v>0</v>
      </c>
    </row>
    <row r="130" spans="1:17">
      <c r="A130" t="s">
        <v>124</v>
      </c>
      <c r="B130" t="s">
        <v>675</v>
      </c>
      <c r="C130" t="str">
        <f>VLOOKUP(A130,Districts!A:I,9,FALSE)</f>
        <v>Bowie Unified District</v>
      </c>
      <c r="D130" t="str">
        <f>VLOOKUP(A130,Districts!A:P,16,FALSE)</f>
        <v>MRLVMKXM3GJ3</v>
      </c>
      <c r="F130" s="1">
        <v>45200</v>
      </c>
      <c r="G130" t="s">
        <v>529</v>
      </c>
      <c r="H130" t="s">
        <v>530</v>
      </c>
      <c r="I130" s="59">
        <f>_xlfn.IFNA(VLOOKUP(A130,'619'!D:F,3,FALSE),0)</f>
        <v>379.19</v>
      </c>
      <c r="J130" s="59">
        <f>_xlfn.IFNA(VLOOKUP(A130,'619'!D:Q,14,FALSE),0)</f>
        <v>0</v>
      </c>
      <c r="K130" s="59">
        <f>_xlfn.IFNA(VLOOKUP(A130,'619'!D:Q,14,FALSE),0)</f>
        <v>0</v>
      </c>
      <c r="O130" t="s">
        <v>531</v>
      </c>
      <c r="P130" t="str">
        <f>_xlfn.IFNA(VLOOKUP(A130,IndirectCost!B:L,11,FALSE),"")</f>
        <v/>
      </c>
      <c r="Q130">
        <f t="shared" si="1"/>
        <v>0</v>
      </c>
    </row>
    <row r="131" spans="1:17">
      <c r="A131" t="s">
        <v>125</v>
      </c>
      <c r="B131" t="s">
        <v>676</v>
      </c>
      <c r="C131" t="str">
        <f>VLOOKUP(A131,Districts!A:I,9,FALSE)</f>
        <v>BUCKEYE ELEMENTARY SCHOOL DISTRICT 33</v>
      </c>
      <c r="D131" t="str">
        <f>VLOOKUP(A131,Districts!A:P,16,FALSE)</f>
        <v>GC1PLJC48PF3</v>
      </c>
      <c r="F131" s="1">
        <v>45200</v>
      </c>
      <c r="G131" t="s">
        <v>529</v>
      </c>
      <c r="H131" t="s">
        <v>530</v>
      </c>
      <c r="I131" s="59">
        <f>_xlfn.IFNA(VLOOKUP(A131,'619'!D:F,3,FALSE),0)</f>
        <v>9057.36</v>
      </c>
      <c r="J131" s="59">
        <f>_xlfn.IFNA(VLOOKUP(A131,'619'!D:Q,14,FALSE),0)</f>
        <v>9059.61</v>
      </c>
      <c r="K131" s="59">
        <f>_xlfn.IFNA(VLOOKUP(A131,'619'!D:Q,14,FALSE),0)</f>
        <v>9059.61</v>
      </c>
      <c r="O131" t="s">
        <v>531</v>
      </c>
      <c r="P131">
        <f>_xlfn.IFNA(VLOOKUP(A131,IndirectCost!B:L,11,FALSE),"")</f>
        <v>5.05</v>
      </c>
      <c r="Q131">
        <f t="shared" si="1"/>
        <v>5.0499999999999996E-2</v>
      </c>
    </row>
    <row r="132" spans="1:17">
      <c r="A132" t="s">
        <v>677</v>
      </c>
      <c r="B132" t="s">
        <v>678</v>
      </c>
      <c r="C132" t="str">
        <f>VLOOKUP(A132,Districts!A:I,9,FALSE)</f>
        <v>Buckeye Union High School District</v>
      </c>
      <c r="D132" t="str">
        <f>VLOOKUP(A132,Districts!A:P,16,FALSE)</f>
        <v>F1MGYK4MWLH9</v>
      </c>
      <c r="F132" s="1">
        <v>45200</v>
      </c>
      <c r="G132" t="s">
        <v>529</v>
      </c>
      <c r="H132" t="s">
        <v>530</v>
      </c>
      <c r="I132" s="59">
        <f>_xlfn.IFNA(VLOOKUP(A132,'619'!D:F,3,FALSE),0)</f>
        <v>0</v>
      </c>
      <c r="J132" s="59">
        <f>_xlfn.IFNA(VLOOKUP(A132,'619'!D:Q,14,FALSE),0)</f>
        <v>0</v>
      </c>
      <c r="K132" s="59">
        <f>_xlfn.IFNA(VLOOKUP(A132,'619'!D:Q,14,FALSE),0)</f>
        <v>0</v>
      </c>
      <c r="O132" t="s">
        <v>531</v>
      </c>
      <c r="P132">
        <f>_xlfn.IFNA(VLOOKUP(A132,IndirectCost!B:L,11,FALSE),"")</f>
        <v>4.0599999999999996</v>
      </c>
      <c r="Q132">
        <f t="shared" ref="Q132:Q195" si="2">IFERROR(P132/100,0)</f>
        <v>4.0599999999999997E-2</v>
      </c>
    </row>
    <row r="133" spans="1:17">
      <c r="A133" t="s">
        <v>126</v>
      </c>
      <c r="B133" t="s">
        <v>679</v>
      </c>
      <c r="C133" t="str">
        <f>VLOOKUP(A133,Districts!A:I,9,FALSE)</f>
        <v>Bullhead City School District 15</v>
      </c>
      <c r="D133" t="str">
        <f>VLOOKUP(A133,Districts!A:P,16,FALSE)</f>
        <v>LW9MQ2AH7XU4</v>
      </c>
      <c r="F133" s="1">
        <v>45200</v>
      </c>
      <c r="G133" t="s">
        <v>529</v>
      </c>
      <c r="H133" t="s">
        <v>530</v>
      </c>
      <c r="I133" s="59">
        <f>_xlfn.IFNA(VLOOKUP(A133,'619'!D:F,3,FALSE),0)</f>
        <v>10969.84</v>
      </c>
      <c r="J133" s="59">
        <f>_xlfn.IFNA(VLOOKUP(A133,'619'!D:Q,14,FALSE),0)</f>
        <v>13199.02</v>
      </c>
      <c r="K133" s="59">
        <f>_xlfn.IFNA(VLOOKUP(A133,'619'!D:Q,14,FALSE),0)</f>
        <v>13199.02</v>
      </c>
      <c r="O133" t="s">
        <v>531</v>
      </c>
      <c r="P133">
        <f>_xlfn.IFNA(VLOOKUP(A133,IndirectCost!B:L,11,FALSE),"")</f>
        <v>0</v>
      </c>
      <c r="Q133">
        <f t="shared" si="2"/>
        <v>0</v>
      </c>
    </row>
    <row r="134" spans="1:17">
      <c r="A134" t="s">
        <v>127</v>
      </c>
      <c r="B134" t="s">
        <v>680</v>
      </c>
      <c r="C134" t="str">
        <f>VLOOKUP(A134,Districts!A:I,9,FALSE)</f>
        <v>CAFA, Inc. Learning Foundation and Performing Arts</v>
      </c>
      <c r="D134" t="str">
        <f>VLOOKUP(A134,Districts!A:P,16,FALSE)</f>
        <v>KWMHJKN9T5J4</v>
      </c>
      <c r="F134" s="1">
        <v>45200</v>
      </c>
      <c r="G134" t="s">
        <v>529</v>
      </c>
      <c r="H134" t="s">
        <v>530</v>
      </c>
      <c r="I134" s="59">
        <f>_xlfn.IFNA(VLOOKUP(A134,'619'!D:F,3,FALSE),0)</f>
        <v>769.05</v>
      </c>
      <c r="J134" s="59">
        <f>_xlfn.IFNA(VLOOKUP(A134,'619'!D:Q,14,FALSE),0)</f>
        <v>0</v>
      </c>
      <c r="K134" s="59">
        <f>_xlfn.IFNA(VLOOKUP(A134,'619'!D:Q,14,FALSE),0)</f>
        <v>0</v>
      </c>
      <c r="O134" t="s">
        <v>531</v>
      </c>
      <c r="P134">
        <f>_xlfn.IFNA(VLOOKUP(A134,IndirectCost!B:L,11,FALSE),"")</f>
        <v>8</v>
      </c>
      <c r="Q134">
        <f t="shared" si="2"/>
        <v>0.08</v>
      </c>
    </row>
    <row r="135" spans="1:17">
      <c r="A135" t="s">
        <v>128</v>
      </c>
      <c r="B135" t="s">
        <v>681</v>
      </c>
      <c r="C135" t="str">
        <f>VLOOKUP(A135,Districts!A:I,9,FALSE)</f>
        <v>CAFA, Inc. Learning Foundation and Performing Arts</v>
      </c>
      <c r="D135" t="str">
        <f>VLOOKUP(A135,Districts!A:P,16,FALSE)</f>
        <v>KWMHJKN9T5J4</v>
      </c>
      <c r="F135" s="1">
        <v>45200</v>
      </c>
      <c r="G135" t="s">
        <v>529</v>
      </c>
      <c r="H135" t="s">
        <v>530</v>
      </c>
      <c r="I135" s="59">
        <f>_xlfn.IFNA(VLOOKUP(A135,'619'!D:F,3,FALSE),0)</f>
        <v>729.72</v>
      </c>
      <c r="J135" s="59">
        <f>_xlfn.IFNA(VLOOKUP(A135,'619'!D:Q,14,FALSE),0)</f>
        <v>0</v>
      </c>
      <c r="K135" s="59">
        <f>_xlfn.IFNA(VLOOKUP(A135,'619'!D:Q,14,FALSE),0)</f>
        <v>0</v>
      </c>
      <c r="O135" t="s">
        <v>531</v>
      </c>
      <c r="P135">
        <f>_xlfn.IFNA(VLOOKUP(A135,IndirectCost!B:L,11,FALSE),"")</f>
        <v>8</v>
      </c>
      <c r="Q135">
        <f t="shared" si="2"/>
        <v>0.08</v>
      </c>
    </row>
    <row r="136" spans="1:17">
      <c r="A136" t="s">
        <v>129</v>
      </c>
      <c r="B136" t="s">
        <v>682</v>
      </c>
      <c r="C136" t="str">
        <f>VLOOKUP(A136,Districts!A:I,9,FALSE)</f>
        <v>Calibre Academy, Inc. dba Calibre Academy of Glendale</v>
      </c>
      <c r="D136" t="str">
        <f>VLOOKUP(A136,Districts!A:P,16,FALSE)</f>
        <v>DGT6N39LLTY7</v>
      </c>
      <c r="F136" s="1">
        <v>45200</v>
      </c>
      <c r="G136" t="s">
        <v>529</v>
      </c>
      <c r="H136" t="s">
        <v>530</v>
      </c>
      <c r="I136" s="59">
        <f>_xlfn.IFNA(VLOOKUP(A136,'619'!D:F,3,FALSE),0)</f>
        <v>940.01</v>
      </c>
      <c r="J136" s="59">
        <f>_xlfn.IFNA(VLOOKUP(A136,'619'!D:Q,14,FALSE),0)</f>
        <v>0</v>
      </c>
      <c r="K136" s="59">
        <f>_xlfn.IFNA(VLOOKUP(A136,'619'!D:Q,14,FALSE),0)</f>
        <v>0</v>
      </c>
      <c r="O136" t="s">
        <v>531</v>
      </c>
      <c r="P136" t="str">
        <f>_xlfn.IFNA(VLOOKUP(A136,IndirectCost!B:L,11,FALSE),"")</f>
        <v/>
      </c>
      <c r="Q136">
        <f t="shared" si="2"/>
        <v>0</v>
      </c>
    </row>
    <row r="137" spans="1:17">
      <c r="A137" t="s">
        <v>130</v>
      </c>
      <c r="B137" t="s">
        <v>683</v>
      </c>
      <c r="C137" t="str">
        <f>VLOOKUP(A137,Districts!A:I,9,FALSE)</f>
        <v>Cambridge Academy East Inc</v>
      </c>
      <c r="D137" t="str">
        <f>VLOOKUP(A137,Districts!A:P,16,FALSE)</f>
        <v>RCADN5HVLC39</v>
      </c>
      <c r="F137" s="1">
        <v>45200</v>
      </c>
      <c r="G137" t="s">
        <v>529</v>
      </c>
      <c r="H137" t="s">
        <v>530</v>
      </c>
      <c r="I137" s="59">
        <f>_xlfn.IFNA(VLOOKUP(A137,'619'!D:F,3,FALSE),0)</f>
        <v>176.66</v>
      </c>
      <c r="J137" s="59">
        <f>_xlfn.IFNA(VLOOKUP(A137,'619'!D:Q,14,FALSE),0)</f>
        <v>0</v>
      </c>
      <c r="K137" s="59">
        <f>_xlfn.IFNA(VLOOKUP(A137,'619'!D:Q,14,FALSE),0)</f>
        <v>0</v>
      </c>
      <c r="O137" t="s">
        <v>531</v>
      </c>
      <c r="P137" t="str">
        <f>_xlfn.IFNA(VLOOKUP(A137,IndirectCost!B:L,11,FALSE),"")</f>
        <v/>
      </c>
      <c r="Q137">
        <f t="shared" si="2"/>
        <v>0</v>
      </c>
    </row>
    <row r="138" spans="1:17">
      <c r="A138" t="s">
        <v>131</v>
      </c>
      <c r="B138" t="s">
        <v>684</v>
      </c>
      <c r="C138" t="str">
        <f>VLOOKUP(A138,Districts!A:I,9,FALSE)</f>
        <v>Camelback Academy</v>
      </c>
      <c r="D138" t="str">
        <f>VLOOKUP(A138,Districts!A:P,16,FALSE)</f>
        <v>VYZGLRJBLA24</v>
      </c>
      <c r="F138" s="1">
        <v>45200</v>
      </c>
      <c r="G138" t="s">
        <v>529</v>
      </c>
      <c r="H138" t="s">
        <v>530</v>
      </c>
      <c r="I138" s="59">
        <f>_xlfn.IFNA(VLOOKUP(A138,'619'!D:F,3,FALSE),0)</f>
        <v>830.47</v>
      </c>
      <c r="J138" s="59">
        <f>_xlfn.IFNA(VLOOKUP(A138,'619'!D:Q,14,FALSE),0)</f>
        <v>830.47</v>
      </c>
      <c r="K138" s="59">
        <f>_xlfn.IFNA(VLOOKUP(A138,'619'!D:Q,14,FALSE),0)</f>
        <v>830.47</v>
      </c>
      <c r="O138" t="s">
        <v>531</v>
      </c>
      <c r="P138" t="str">
        <f>_xlfn.IFNA(VLOOKUP(A138,IndirectCost!B:L,11,FALSE),"")</f>
        <v/>
      </c>
      <c r="Q138">
        <f t="shared" si="2"/>
        <v>0</v>
      </c>
    </row>
    <row r="139" spans="1:17">
      <c r="A139" t="s">
        <v>132</v>
      </c>
      <c r="B139" t="s">
        <v>685</v>
      </c>
      <c r="C139" t="str">
        <f>VLOOKUP(A139,Districts!A:I,9,FALSE)</f>
        <v>Camp Verde Unified School District</v>
      </c>
      <c r="D139" t="str">
        <f>VLOOKUP(A139,Districts!A:P,16,FALSE)</f>
        <v>HJX3CXELDND9</v>
      </c>
      <c r="F139" s="1">
        <v>45200</v>
      </c>
      <c r="G139" t="s">
        <v>529</v>
      </c>
      <c r="H139" t="s">
        <v>530</v>
      </c>
      <c r="I139" s="59">
        <f>_xlfn.IFNA(VLOOKUP(A139,'619'!D:F,3,FALSE),0)</f>
        <v>16171.19</v>
      </c>
      <c r="J139" s="59">
        <f>_xlfn.IFNA(VLOOKUP(A139,'619'!D:Q,14,FALSE),0)</f>
        <v>18630.73</v>
      </c>
      <c r="K139" s="59">
        <f>_xlfn.IFNA(VLOOKUP(A139,'619'!D:Q,14,FALSE),0)</f>
        <v>18630.73</v>
      </c>
      <c r="O139" t="s">
        <v>531</v>
      </c>
      <c r="P139">
        <f>_xlfn.IFNA(VLOOKUP(A139,IndirectCost!B:L,11,FALSE),"")</f>
        <v>2.82</v>
      </c>
      <c r="Q139">
        <f t="shared" si="2"/>
        <v>2.8199999999999999E-2</v>
      </c>
    </row>
    <row r="140" spans="1:17">
      <c r="A140" t="s">
        <v>134</v>
      </c>
      <c r="B140" t="s">
        <v>686</v>
      </c>
      <c r="C140" t="str">
        <f>VLOOKUP(A140,Districts!A:I,9,FALSE)</f>
        <v>Candeo Schools Inc</v>
      </c>
      <c r="D140" t="str">
        <f>VLOOKUP(A140,Districts!A:P,16,FALSE)</f>
        <v>M77QJNULMZN1</v>
      </c>
      <c r="F140" s="1">
        <v>45200</v>
      </c>
      <c r="G140" t="s">
        <v>529</v>
      </c>
      <c r="H140" t="s">
        <v>530</v>
      </c>
      <c r="I140" s="59">
        <f>_xlfn.IFNA(VLOOKUP(A140,'619'!D:F,3,FALSE),0)</f>
        <v>218.58</v>
      </c>
      <c r="J140" s="59">
        <f>_xlfn.IFNA(VLOOKUP(A140,'619'!D:Q,14,FALSE),0)</f>
        <v>218.58</v>
      </c>
      <c r="K140" s="59">
        <f>_xlfn.IFNA(VLOOKUP(A140,'619'!D:Q,14,FALSE),0)</f>
        <v>218.58</v>
      </c>
      <c r="O140" t="s">
        <v>531</v>
      </c>
      <c r="P140" t="str">
        <f>_xlfn.IFNA(VLOOKUP(A140,IndirectCost!B:L,11,FALSE),"")</f>
        <v/>
      </c>
      <c r="Q140">
        <f t="shared" si="2"/>
        <v>0</v>
      </c>
    </row>
    <row r="141" spans="1:17">
      <c r="A141" t="s">
        <v>133</v>
      </c>
      <c r="B141" t="s">
        <v>686</v>
      </c>
      <c r="C141" t="str">
        <f>VLOOKUP(A141,Districts!A:I,9,FALSE)</f>
        <v>Candeo Schools Inc</v>
      </c>
      <c r="D141" t="str">
        <f>VLOOKUP(A141,Districts!A:P,16,FALSE)</f>
        <v>M77QJNULMZN1</v>
      </c>
      <c r="F141" s="1">
        <v>45200</v>
      </c>
      <c r="G141" t="s">
        <v>529</v>
      </c>
      <c r="H141" t="s">
        <v>530</v>
      </c>
      <c r="I141" s="59">
        <f>_xlfn.IFNA(VLOOKUP(A141,'619'!D:F,3,FALSE),0)</f>
        <v>651.89</v>
      </c>
      <c r="J141" s="59">
        <f>_xlfn.IFNA(VLOOKUP(A141,'619'!D:Q,14,FALSE),0)</f>
        <v>651.89</v>
      </c>
      <c r="K141" s="59">
        <f>_xlfn.IFNA(VLOOKUP(A141,'619'!D:Q,14,FALSE),0)</f>
        <v>651.89</v>
      </c>
      <c r="O141" t="s">
        <v>531</v>
      </c>
      <c r="P141" t="str">
        <f>_xlfn.IFNA(VLOOKUP(A141,IndirectCost!B:L,11,FALSE),"")</f>
        <v/>
      </c>
      <c r="Q141">
        <f t="shared" si="2"/>
        <v>0</v>
      </c>
    </row>
    <row r="142" spans="1:17">
      <c r="A142" t="s">
        <v>135</v>
      </c>
      <c r="B142" t="s">
        <v>687</v>
      </c>
      <c r="C142" t="str">
        <f>VLOOKUP(A142,Districts!A:I,9,FALSE)</f>
        <v>Canon School District 50</v>
      </c>
      <c r="D142" t="str">
        <f>VLOOKUP(A142,Districts!A:P,16,FALSE)</f>
        <v>LUMVGSJZM4L6</v>
      </c>
      <c r="F142" s="1">
        <v>45200</v>
      </c>
      <c r="G142" t="s">
        <v>529</v>
      </c>
      <c r="H142" t="s">
        <v>530</v>
      </c>
      <c r="I142" s="59">
        <f>_xlfn.IFNA(VLOOKUP(A142,'619'!D:F,3,FALSE),0)</f>
        <v>1524.63</v>
      </c>
      <c r="J142" s="59">
        <f>_xlfn.IFNA(VLOOKUP(A142,'619'!D:Q,14,FALSE),0)</f>
        <v>1524.63</v>
      </c>
      <c r="K142" s="59">
        <f>_xlfn.IFNA(VLOOKUP(A142,'619'!D:Q,14,FALSE),0)</f>
        <v>1524.63</v>
      </c>
      <c r="O142" t="s">
        <v>531</v>
      </c>
      <c r="P142" t="str">
        <f>_xlfn.IFNA(VLOOKUP(A142,IndirectCost!B:L,11,FALSE),"")</f>
        <v/>
      </c>
      <c r="Q142">
        <f t="shared" si="2"/>
        <v>0</v>
      </c>
    </row>
    <row r="143" spans="1:17">
      <c r="A143" t="s">
        <v>136</v>
      </c>
      <c r="B143" t="s">
        <v>688</v>
      </c>
      <c r="C143" t="str">
        <f>VLOOKUP(A143,Districts!A:I,9,FALSE)</f>
        <v>Carden of Tucson</v>
      </c>
      <c r="D143" t="str">
        <f>VLOOKUP(A143,Districts!A:P,16,FALSE)</f>
        <v>DQKXJDAUMDU9</v>
      </c>
      <c r="F143" s="1">
        <v>45200</v>
      </c>
      <c r="G143" t="s">
        <v>529</v>
      </c>
      <c r="H143" t="s">
        <v>530</v>
      </c>
      <c r="I143" s="59">
        <f>_xlfn.IFNA(VLOOKUP(A143,'619'!D:F,3,FALSE),0)</f>
        <v>293.20999999999998</v>
      </c>
      <c r="J143" s="59">
        <f>_xlfn.IFNA(VLOOKUP(A143,'619'!D:Q,14,FALSE),0)</f>
        <v>0</v>
      </c>
      <c r="K143" s="59">
        <f>_xlfn.IFNA(VLOOKUP(A143,'619'!D:Q,14,FALSE),0)</f>
        <v>0</v>
      </c>
      <c r="O143" t="s">
        <v>531</v>
      </c>
      <c r="P143" t="str">
        <f>_xlfn.IFNA(VLOOKUP(A143,IndirectCost!B:L,11,FALSE),"")</f>
        <v/>
      </c>
      <c r="Q143">
        <f t="shared" si="2"/>
        <v>0</v>
      </c>
    </row>
    <row r="144" spans="1:17">
      <c r="A144" t="s">
        <v>689</v>
      </c>
      <c r="B144" t="s">
        <v>690</v>
      </c>
      <c r="C144" t="str">
        <f>VLOOKUP(A144,Districts!A:I,9,FALSE)</f>
        <v>Career Development Inc dba NORTHERN ARIZONA ACADEMY - TAYLOR CAMPUS</v>
      </c>
      <c r="D144" t="str">
        <f>VLOOKUP(A144,Districts!A:P,16,FALSE)</f>
        <v>LNU2A1123GG3</v>
      </c>
      <c r="F144" s="1">
        <v>45200</v>
      </c>
      <c r="G144" t="s">
        <v>529</v>
      </c>
      <c r="H144" t="s">
        <v>530</v>
      </c>
      <c r="I144" s="59">
        <f>_xlfn.IFNA(VLOOKUP(A144,'619'!D:F,3,FALSE),0)</f>
        <v>0</v>
      </c>
      <c r="J144" s="59">
        <f>_xlfn.IFNA(VLOOKUP(A144,'619'!D:Q,14,FALSE),0)</f>
        <v>0</v>
      </c>
      <c r="K144" s="59">
        <f>_xlfn.IFNA(VLOOKUP(A144,'619'!D:Q,14,FALSE),0)</f>
        <v>0</v>
      </c>
      <c r="O144" t="s">
        <v>531</v>
      </c>
      <c r="P144">
        <f>_xlfn.IFNA(VLOOKUP(A144,IndirectCost!B:L,11,FALSE),"")</f>
        <v>8</v>
      </c>
      <c r="Q144">
        <f t="shared" si="2"/>
        <v>0.08</v>
      </c>
    </row>
    <row r="145" spans="1:17">
      <c r="A145" t="s">
        <v>137</v>
      </c>
      <c r="B145" t="s">
        <v>691</v>
      </c>
      <c r="C145" t="str">
        <f>VLOOKUP(A145,Districts!A:I,9,FALSE)</f>
        <v>Career Success Charter High Schools NP</v>
      </c>
      <c r="D145" t="str">
        <f>VLOOKUP(A145,Districts!A:P,16,FALSE)</f>
        <v>QQ4ZFJJXZJ34</v>
      </c>
      <c r="F145" s="1">
        <v>45200</v>
      </c>
      <c r="G145" t="s">
        <v>529</v>
      </c>
      <c r="H145" t="s">
        <v>530</v>
      </c>
      <c r="I145" s="59">
        <f>_xlfn.IFNA(VLOOKUP(A145,'619'!D:F,3,FALSE),0)</f>
        <v>1693.07</v>
      </c>
      <c r="J145" s="59">
        <f>_xlfn.IFNA(VLOOKUP(A145,'619'!D:Q,14,FALSE),0)</f>
        <v>1780.56</v>
      </c>
      <c r="K145" s="59">
        <f>_xlfn.IFNA(VLOOKUP(A145,'619'!D:Q,14,FALSE),0)</f>
        <v>1780.56</v>
      </c>
      <c r="O145" t="s">
        <v>531</v>
      </c>
      <c r="P145">
        <f>_xlfn.IFNA(VLOOKUP(A145,IndirectCost!B:L,11,FALSE),"")</f>
        <v>8</v>
      </c>
      <c r="Q145">
        <f t="shared" si="2"/>
        <v>0.08</v>
      </c>
    </row>
    <row r="146" spans="1:17">
      <c r="A146" t="s">
        <v>692</v>
      </c>
      <c r="B146" t="s">
        <v>693</v>
      </c>
      <c r="C146" t="str">
        <f>VLOOKUP(A146,Districts!A:I,9,FALSE)</f>
        <v>Carpe Diem Collegiate High School</v>
      </c>
      <c r="D146" t="str">
        <f>VLOOKUP(A146,Districts!A:P,16,FALSE)</f>
        <v>QRLWEH4PT1J8</v>
      </c>
      <c r="F146" s="1">
        <v>45200</v>
      </c>
      <c r="G146" t="s">
        <v>529</v>
      </c>
      <c r="H146" t="s">
        <v>530</v>
      </c>
      <c r="I146" s="59">
        <f>_xlfn.IFNA(VLOOKUP(A146,'619'!D:F,3,FALSE),0)</f>
        <v>0</v>
      </c>
      <c r="J146" s="59">
        <f>_xlfn.IFNA(VLOOKUP(A146,'619'!D:Q,14,FALSE),0)</f>
        <v>0</v>
      </c>
      <c r="K146" s="59">
        <f>_xlfn.IFNA(VLOOKUP(A146,'619'!D:Q,14,FALSE),0)</f>
        <v>0</v>
      </c>
      <c r="O146" t="s">
        <v>531</v>
      </c>
      <c r="P146" t="str">
        <f>_xlfn.IFNA(VLOOKUP(A146,IndirectCost!B:L,11,FALSE),"")</f>
        <v/>
      </c>
      <c r="Q146">
        <f t="shared" si="2"/>
        <v>0</v>
      </c>
    </row>
    <row r="147" spans="1:17">
      <c r="A147" t="s">
        <v>138</v>
      </c>
      <c r="B147" t="s">
        <v>694</v>
      </c>
      <c r="C147" t="str">
        <f>VLOOKUP(A147,Districts!A:I,9,FALSE)</f>
        <v>Cartwright School District 83</v>
      </c>
      <c r="D147" t="str">
        <f>VLOOKUP(A147,Districts!A:P,16,FALSE)</f>
        <v>F8CPL2XK7VM4</v>
      </c>
      <c r="F147" s="1">
        <v>45200</v>
      </c>
      <c r="G147" t="s">
        <v>529</v>
      </c>
      <c r="H147" t="s">
        <v>530</v>
      </c>
      <c r="I147" s="59">
        <f>_xlfn.IFNA(VLOOKUP(A147,'619'!D:F,3,FALSE),0)</f>
        <v>101848.88</v>
      </c>
      <c r="J147" s="59">
        <f>_xlfn.IFNA(VLOOKUP(A147,'619'!D:Q,14,FALSE),0)</f>
        <v>127010.88</v>
      </c>
      <c r="K147" s="59">
        <f>_xlfn.IFNA(VLOOKUP(A147,'619'!D:Q,14,FALSE),0)</f>
        <v>127010.88</v>
      </c>
      <c r="O147" t="s">
        <v>531</v>
      </c>
      <c r="P147">
        <f>_xlfn.IFNA(VLOOKUP(A147,IndirectCost!B:L,11,FALSE),"")</f>
        <v>4.88</v>
      </c>
      <c r="Q147">
        <f t="shared" si="2"/>
        <v>4.8799999999999996E-2</v>
      </c>
    </row>
    <row r="148" spans="1:17">
      <c r="A148" t="s">
        <v>139</v>
      </c>
      <c r="B148" t="s">
        <v>695</v>
      </c>
      <c r="C148" t="str">
        <f>VLOOKUP(A148,Districts!A:I,9,FALSE)</f>
        <v>CASA Academy</v>
      </c>
      <c r="D148" t="str">
        <f>VLOOKUP(A148,Districts!A:P,16,FALSE)</f>
        <v>L36CGX9MMSP5</v>
      </c>
      <c r="F148" s="1">
        <v>45200</v>
      </c>
      <c r="G148" t="s">
        <v>529</v>
      </c>
      <c r="H148" t="s">
        <v>530</v>
      </c>
      <c r="I148" s="59">
        <f>_xlfn.IFNA(VLOOKUP(A148,'619'!D:F,3,FALSE),0)</f>
        <v>546.95000000000005</v>
      </c>
      <c r="J148" s="59">
        <f>_xlfn.IFNA(VLOOKUP(A148,'619'!D:Q,14,FALSE),0)</f>
        <v>546.95000000000005</v>
      </c>
      <c r="K148" s="59">
        <f>_xlfn.IFNA(VLOOKUP(A148,'619'!D:Q,14,FALSE),0)</f>
        <v>546.95000000000005</v>
      </c>
      <c r="O148" t="s">
        <v>531</v>
      </c>
      <c r="P148" t="str">
        <f>_xlfn.IFNA(VLOOKUP(A148,IndirectCost!B:L,11,FALSE),"")</f>
        <v/>
      </c>
      <c r="Q148">
        <f t="shared" si="2"/>
        <v>0</v>
      </c>
    </row>
    <row r="149" spans="1:17">
      <c r="A149" t="s">
        <v>140</v>
      </c>
      <c r="B149" t="s">
        <v>696</v>
      </c>
      <c r="C149" t="str">
        <f>VLOOKUP(A149,Districts!A:I,9,FALSE)</f>
        <v>Casa Grande Elementary School District</v>
      </c>
      <c r="D149" t="str">
        <f>VLOOKUP(A149,Districts!A:P,16,FALSE)</f>
        <v>KAWKU7NLSK53</v>
      </c>
      <c r="F149" s="1">
        <v>45200</v>
      </c>
      <c r="G149" t="s">
        <v>529</v>
      </c>
      <c r="H149" t="s">
        <v>530</v>
      </c>
      <c r="I149" s="59">
        <f>_xlfn.IFNA(VLOOKUP(A149,'619'!D:F,3,FALSE),0)</f>
        <v>30270.28</v>
      </c>
      <c r="J149" s="59">
        <f>_xlfn.IFNA(VLOOKUP(A149,'619'!D:Q,14,FALSE),0)</f>
        <v>30270.28</v>
      </c>
      <c r="K149" s="59">
        <f>_xlfn.IFNA(VLOOKUP(A149,'619'!D:Q,14,FALSE),0)</f>
        <v>30270.28</v>
      </c>
      <c r="O149" t="s">
        <v>531</v>
      </c>
      <c r="P149">
        <f>_xlfn.IFNA(VLOOKUP(A149,IndirectCost!B:L,11,FALSE),"")</f>
        <v>3.17</v>
      </c>
      <c r="Q149">
        <f t="shared" si="2"/>
        <v>3.1699999999999999E-2</v>
      </c>
    </row>
    <row r="150" spans="1:17">
      <c r="A150" t="s">
        <v>697</v>
      </c>
      <c r="B150" t="s">
        <v>698</v>
      </c>
      <c r="C150" t="str">
        <f>VLOOKUP(A150,Districts!A:I,9,FALSE)</f>
        <v>Casa Grande Union High School District</v>
      </c>
      <c r="D150" t="str">
        <f>VLOOKUP(A150,Districts!A:P,16,FALSE)</f>
        <v>NVTNR5XZ1RA3</v>
      </c>
      <c r="F150" s="1">
        <v>45200</v>
      </c>
      <c r="G150" t="s">
        <v>529</v>
      </c>
      <c r="H150" t="s">
        <v>530</v>
      </c>
      <c r="I150" s="59">
        <f>_xlfn.IFNA(VLOOKUP(A150,'619'!D:F,3,FALSE),0)</f>
        <v>0</v>
      </c>
      <c r="J150" s="59">
        <f>_xlfn.IFNA(VLOOKUP(A150,'619'!D:Q,14,FALSE),0)</f>
        <v>0</v>
      </c>
      <c r="K150" s="59">
        <f>_xlfn.IFNA(VLOOKUP(A150,'619'!D:Q,14,FALSE),0)</f>
        <v>0</v>
      </c>
      <c r="O150" t="s">
        <v>531</v>
      </c>
      <c r="P150">
        <f>_xlfn.IFNA(VLOOKUP(A150,IndirectCost!B:L,11,FALSE),"")</f>
        <v>7.82</v>
      </c>
      <c r="Q150">
        <f t="shared" si="2"/>
        <v>7.8200000000000006E-2</v>
      </c>
    </row>
    <row r="151" spans="1:17">
      <c r="A151" t="s">
        <v>141</v>
      </c>
      <c r="B151" t="s">
        <v>699</v>
      </c>
      <c r="C151" t="str">
        <f>VLOOKUP(A151,Districts!A:I,9,FALSE)</f>
        <v>Catalina Foothills Unified School Distri</v>
      </c>
      <c r="D151" t="str">
        <f>VLOOKUP(A151,Districts!A:P,16,FALSE)</f>
        <v>PL46DJGRKWT4</v>
      </c>
      <c r="F151" s="1">
        <v>45200</v>
      </c>
      <c r="G151" t="s">
        <v>529</v>
      </c>
      <c r="H151" t="s">
        <v>530</v>
      </c>
      <c r="I151" s="59">
        <f>_xlfn.IFNA(VLOOKUP(A151,'619'!D:F,3,FALSE),0)</f>
        <v>13412.68</v>
      </c>
      <c r="J151" s="59">
        <f>_xlfn.IFNA(VLOOKUP(A151,'619'!D:Q,14,FALSE),0)</f>
        <v>13423.22</v>
      </c>
      <c r="K151" s="59">
        <f>_xlfn.IFNA(VLOOKUP(A151,'619'!D:Q,14,FALSE),0)</f>
        <v>13423.22</v>
      </c>
      <c r="O151" t="s">
        <v>531</v>
      </c>
      <c r="P151">
        <f>_xlfn.IFNA(VLOOKUP(A151,IndirectCost!B:L,11,FALSE),"")</f>
        <v>3.53</v>
      </c>
      <c r="Q151">
        <f t="shared" si="2"/>
        <v>3.5299999999999998E-2</v>
      </c>
    </row>
    <row r="152" spans="1:17">
      <c r="A152" t="s">
        <v>142</v>
      </c>
      <c r="B152" t="s">
        <v>700</v>
      </c>
      <c r="C152" t="str">
        <f>VLOOKUP(A152,Districts!A:I,9,FALSE)</f>
        <v>ARIZONA MONTESSORI CHARTER SCHOOL AT ANTHEM Caurus Academy, Inc.</v>
      </c>
      <c r="D152" t="str">
        <f>VLOOKUP(A152,Districts!A:P,16,FALSE)</f>
        <v>ZDTLTQCJ48G9</v>
      </c>
      <c r="F152" s="1">
        <v>45200</v>
      </c>
      <c r="G152" t="s">
        <v>529</v>
      </c>
      <c r="H152" t="s">
        <v>530</v>
      </c>
      <c r="I152" s="59">
        <f>_xlfn.IFNA(VLOOKUP(A152,'619'!D:F,3,FALSE),0)</f>
        <v>465.71</v>
      </c>
      <c r="J152" s="59">
        <f>_xlfn.IFNA(VLOOKUP(A152,'619'!D:Q,14,FALSE),0)</f>
        <v>465.71</v>
      </c>
      <c r="K152" s="59">
        <f>_xlfn.IFNA(VLOOKUP(A152,'619'!D:Q,14,FALSE),0)</f>
        <v>465.71</v>
      </c>
      <c r="O152" t="s">
        <v>531</v>
      </c>
      <c r="P152" t="str">
        <f>_xlfn.IFNA(VLOOKUP(A152,IndirectCost!B:L,11,FALSE),"")</f>
        <v/>
      </c>
      <c r="Q152">
        <f t="shared" si="2"/>
        <v>0</v>
      </c>
    </row>
    <row r="153" spans="1:17">
      <c r="A153" t="s">
        <v>143</v>
      </c>
      <c r="B153" t="s">
        <v>701</v>
      </c>
      <c r="C153" t="str">
        <f>VLOOKUP(A153,Districts!A:I,9,FALSE)</f>
        <v>Cave Creek Unified School District 93</v>
      </c>
      <c r="D153" t="str">
        <f>VLOOKUP(A153,Districts!A:P,16,FALSE)</f>
        <v>WF8CG83Y5LH9</v>
      </c>
      <c r="F153" s="1">
        <v>45200</v>
      </c>
      <c r="G153" t="s">
        <v>529</v>
      </c>
      <c r="H153" t="s">
        <v>530</v>
      </c>
      <c r="I153" s="59">
        <f>_xlfn.IFNA(VLOOKUP(A153,'619'!D:F,3,FALSE),0)</f>
        <v>22271.439999999999</v>
      </c>
      <c r="J153" s="59">
        <f>_xlfn.IFNA(VLOOKUP(A153,'619'!D:Q,14,FALSE),0)</f>
        <v>29822.37</v>
      </c>
      <c r="K153" s="59">
        <f>_xlfn.IFNA(VLOOKUP(A153,'619'!D:Q,14,FALSE),0)</f>
        <v>29822.37</v>
      </c>
      <c r="O153" t="s">
        <v>531</v>
      </c>
      <c r="P153">
        <f>_xlfn.IFNA(VLOOKUP(A153,IndirectCost!B:L,11,FALSE),"")</f>
        <v>5.44</v>
      </c>
      <c r="Q153">
        <f t="shared" si="2"/>
        <v>5.4400000000000004E-2</v>
      </c>
    </row>
    <row r="154" spans="1:17">
      <c r="A154" t="s">
        <v>144</v>
      </c>
      <c r="B154" t="s">
        <v>702</v>
      </c>
      <c r="C154" t="str">
        <f>VLOOKUP(A154,Districts!A:I,9,FALSE)</f>
        <v>Cedar Public School District 25</v>
      </c>
      <c r="D154" t="str">
        <f>VLOOKUP(A154,Districts!A:P,16,FALSE)</f>
        <v>DFT6GJYLMX11</v>
      </c>
      <c r="F154" s="1">
        <v>45200</v>
      </c>
      <c r="G154" t="s">
        <v>529</v>
      </c>
      <c r="H154" t="s">
        <v>530</v>
      </c>
      <c r="I154" s="59">
        <f>_xlfn.IFNA(VLOOKUP(A154,'619'!D:F,3,FALSE),0)</f>
        <v>3200.37</v>
      </c>
      <c r="J154" s="59">
        <f>_xlfn.IFNA(VLOOKUP(A154,'619'!D:Q,14,FALSE),0)</f>
        <v>8046.62</v>
      </c>
      <c r="K154" s="59">
        <f>_xlfn.IFNA(VLOOKUP(A154,'619'!D:Q,14,FALSE),0)</f>
        <v>8046.62</v>
      </c>
      <c r="O154" t="s">
        <v>531</v>
      </c>
      <c r="P154">
        <f>_xlfn.IFNA(VLOOKUP(A154,IndirectCost!B:L,11,FALSE),"")</f>
        <v>8</v>
      </c>
      <c r="Q154">
        <f t="shared" si="2"/>
        <v>0.08</v>
      </c>
    </row>
    <row r="155" spans="1:17">
      <c r="A155" t="s">
        <v>145</v>
      </c>
      <c r="B155" t="s">
        <v>703</v>
      </c>
      <c r="C155" t="str">
        <f>VLOOKUP(A155,Districts!A:I,9,FALSE)</f>
        <v>Center for Academic Success</v>
      </c>
      <c r="D155" t="str">
        <f>VLOOKUP(A155,Districts!A:P,16,FALSE)</f>
        <v>S5MUL3CXNG14</v>
      </c>
      <c r="F155" s="1">
        <v>45200</v>
      </c>
      <c r="G155" t="s">
        <v>529</v>
      </c>
      <c r="H155" t="s">
        <v>530</v>
      </c>
      <c r="I155" s="59">
        <f>_xlfn.IFNA(VLOOKUP(A155,'619'!D:F,3,FALSE),0)</f>
        <v>830.27</v>
      </c>
      <c r="J155" s="59">
        <f>_xlfn.IFNA(VLOOKUP(A155,'619'!D:Q,14,FALSE),0)</f>
        <v>0</v>
      </c>
      <c r="K155" s="59">
        <f>_xlfn.IFNA(VLOOKUP(A155,'619'!D:Q,14,FALSE),0)</f>
        <v>0</v>
      </c>
      <c r="O155" t="s">
        <v>531</v>
      </c>
      <c r="P155" t="str">
        <f>_xlfn.IFNA(VLOOKUP(A155,IndirectCost!B:L,11,FALSE),"")</f>
        <v/>
      </c>
      <c r="Q155">
        <f t="shared" si="2"/>
        <v>0</v>
      </c>
    </row>
    <row r="156" spans="1:17">
      <c r="A156" t="s">
        <v>146</v>
      </c>
      <c r="B156" t="s">
        <v>704</v>
      </c>
      <c r="C156" t="str">
        <f>VLOOKUP(A156,Districts!A:I,9,FALSE)</f>
        <v>Challenge Charter School</v>
      </c>
      <c r="D156" t="str">
        <f>VLOOKUP(A156,Districts!A:P,16,FALSE)</f>
        <v>DBBCTDD4ACP7</v>
      </c>
      <c r="F156" s="1">
        <v>45200</v>
      </c>
      <c r="G156" t="s">
        <v>529</v>
      </c>
      <c r="H156" t="s">
        <v>530</v>
      </c>
      <c r="I156" s="59">
        <f>_xlfn.IFNA(VLOOKUP(A156,'619'!D:F,3,FALSE),0)</f>
        <v>1653.51</v>
      </c>
      <c r="J156" s="59">
        <f>_xlfn.IFNA(VLOOKUP(A156,'619'!D:Q,14,FALSE),0)</f>
        <v>1653.51</v>
      </c>
      <c r="K156" s="59">
        <f>_xlfn.IFNA(VLOOKUP(A156,'619'!D:Q,14,FALSE),0)</f>
        <v>1653.51</v>
      </c>
      <c r="O156" t="s">
        <v>531</v>
      </c>
      <c r="P156" t="str">
        <f>_xlfn.IFNA(VLOOKUP(A156,IndirectCost!B:L,11,FALSE),"")</f>
        <v/>
      </c>
      <c r="Q156">
        <f t="shared" si="2"/>
        <v>0</v>
      </c>
    </row>
    <row r="157" spans="1:17">
      <c r="A157" t="s">
        <v>147</v>
      </c>
      <c r="B157" t="s">
        <v>705</v>
      </c>
      <c r="C157" t="str">
        <f>VLOOKUP(A157,Districts!A:I,9,FALSE)</f>
        <v>Challenger Basic School, Inc.</v>
      </c>
      <c r="D157" t="str">
        <f>VLOOKUP(A157,Districts!A:P,16,FALSE)</f>
        <v>VJ27MADNF6L3</v>
      </c>
      <c r="F157" s="1">
        <v>45200</v>
      </c>
      <c r="G157" t="s">
        <v>529</v>
      </c>
      <c r="H157" t="s">
        <v>530</v>
      </c>
      <c r="I157" s="59">
        <f>_xlfn.IFNA(VLOOKUP(A157,'619'!D:F,3,FALSE),0)</f>
        <v>492.4</v>
      </c>
      <c r="J157" s="59">
        <f>_xlfn.IFNA(VLOOKUP(A157,'619'!D:Q,14,FALSE),0)</f>
        <v>492.4</v>
      </c>
      <c r="K157" s="59">
        <f>_xlfn.IFNA(VLOOKUP(A157,'619'!D:Q,14,FALSE),0)</f>
        <v>492.4</v>
      </c>
      <c r="O157" t="s">
        <v>531</v>
      </c>
      <c r="P157" t="str">
        <f>_xlfn.IFNA(VLOOKUP(A157,IndirectCost!B:L,11,FALSE),"")</f>
        <v/>
      </c>
      <c r="Q157">
        <f t="shared" si="2"/>
        <v>0</v>
      </c>
    </row>
    <row r="158" spans="1:17">
      <c r="A158" t="s">
        <v>706</v>
      </c>
      <c r="B158" t="s">
        <v>707</v>
      </c>
      <c r="C158" t="str">
        <f>VLOOKUP(A158,Districts!A:I,9,FALSE)</f>
        <v>Chandler Preparatory Academy</v>
      </c>
      <c r="D158" t="str">
        <f>VLOOKUP(A158,Districts!A:P,16,FALSE)</f>
        <v>C85HLPW1ZKJ6</v>
      </c>
      <c r="F158" s="1">
        <v>45200</v>
      </c>
      <c r="G158" t="s">
        <v>529</v>
      </c>
      <c r="H158" t="s">
        <v>530</v>
      </c>
      <c r="I158" s="59">
        <f>_xlfn.IFNA(VLOOKUP(A158,'619'!D:F,3,FALSE),0)</f>
        <v>0</v>
      </c>
      <c r="J158" s="59">
        <f>_xlfn.IFNA(VLOOKUP(A158,'619'!D:Q,14,FALSE),0)</f>
        <v>0</v>
      </c>
      <c r="K158" s="59">
        <f>_xlfn.IFNA(VLOOKUP(A158,'619'!D:Q,14,FALSE),0)</f>
        <v>0</v>
      </c>
      <c r="O158" t="s">
        <v>531</v>
      </c>
      <c r="P158">
        <f>_xlfn.IFNA(VLOOKUP(A158,IndirectCost!B:L,11,FALSE),"")</f>
        <v>8</v>
      </c>
      <c r="Q158">
        <f t="shared" si="2"/>
        <v>0.08</v>
      </c>
    </row>
    <row r="159" spans="1:17">
      <c r="A159" t="s">
        <v>148</v>
      </c>
      <c r="B159" t="s">
        <v>708</v>
      </c>
      <c r="C159" t="str">
        <f>VLOOKUP(A159,Districts!A:I,9,FALSE)</f>
        <v>Chandler Unified School District</v>
      </c>
      <c r="D159" t="str">
        <f>VLOOKUP(A159,Districts!A:P,16,FALSE)</f>
        <v>FGJANM3AL4B8</v>
      </c>
      <c r="F159" s="1">
        <v>45200</v>
      </c>
      <c r="G159" t="s">
        <v>529</v>
      </c>
      <c r="H159" t="s">
        <v>530</v>
      </c>
      <c r="I159" s="59">
        <f>_xlfn.IFNA(VLOOKUP(A159,'619'!D:F,3,FALSE),0)</f>
        <v>143767.70000000001</v>
      </c>
      <c r="J159" s="59">
        <f>_xlfn.IFNA(VLOOKUP(A159,'619'!D:Q,14,FALSE),0)</f>
        <v>143767.70000000001</v>
      </c>
      <c r="K159" s="59">
        <f>_xlfn.IFNA(VLOOKUP(A159,'619'!D:Q,14,FALSE),0)</f>
        <v>143767.70000000001</v>
      </c>
      <c r="O159" t="s">
        <v>531</v>
      </c>
      <c r="P159">
        <f>_xlfn.IFNA(VLOOKUP(A159,IndirectCost!B:L,11,FALSE),"")</f>
        <v>1.7</v>
      </c>
      <c r="Q159">
        <f t="shared" si="2"/>
        <v>1.7000000000000001E-2</v>
      </c>
    </row>
    <row r="160" spans="1:17">
      <c r="A160" t="s">
        <v>149</v>
      </c>
      <c r="B160" t="s">
        <v>709</v>
      </c>
      <c r="C160" t="str">
        <f>VLOOKUP(A160,Districts!A:I,9,FALSE)</f>
        <v>Chinle Unified School District</v>
      </c>
      <c r="D160" t="str">
        <f>VLOOKUP(A160,Districts!A:P,16,FALSE)</f>
        <v>SYUFHH7DNAN7</v>
      </c>
      <c r="F160" s="1">
        <v>45200</v>
      </c>
      <c r="G160" t="s">
        <v>529</v>
      </c>
      <c r="H160" t="s">
        <v>530</v>
      </c>
      <c r="I160" s="59">
        <f>_xlfn.IFNA(VLOOKUP(A160,'619'!D:F,3,FALSE),0)</f>
        <v>6864.61</v>
      </c>
      <c r="J160" s="59">
        <f>_xlfn.IFNA(VLOOKUP(A160,'619'!D:Q,14,FALSE),0)</f>
        <v>6960.26</v>
      </c>
      <c r="K160" s="59">
        <f>_xlfn.IFNA(VLOOKUP(A160,'619'!D:Q,14,FALSE),0)</f>
        <v>6960.26</v>
      </c>
      <c r="O160" t="s">
        <v>531</v>
      </c>
      <c r="P160">
        <f>_xlfn.IFNA(VLOOKUP(A160,IndirectCost!B:L,11,FALSE),"")</f>
        <v>8</v>
      </c>
      <c r="Q160">
        <f t="shared" si="2"/>
        <v>0.08</v>
      </c>
    </row>
    <row r="161" spans="1:17">
      <c r="A161" t="s">
        <v>150</v>
      </c>
      <c r="B161" t="s">
        <v>710</v>
      </c>
      <c r="C161" t="str">
        <f>VLOOKUP(A161,Districts!A:I,9,FALSE)</f>
        <v>Chino Valley USD #51</v>
      </c>
      <c r="D161" t="str">
        <f>VLOOKUP(A161,Districts!A:P,16,FALSE)</f>
        <v>SDNNMNVH6DD5</v>
      </c>
      <c r="F161" s="1">
        <v>45200</v>
      </c>
      <c r="G161" t="s">
        <v>529</v>
      </c>
      <c r="H161" t="s">
        <v>530</v>
      </c>
      <c r="I161" s="59">
        <f>_xlfn.IFNA(VLOOKUP(A161,'619'!D:F,3,FALSE),0)</f>
        <v>22795.25</v>
      </c>
      <c r="J161" s="59">
        <f>_xlfn.IFNA(VLOOKUP(A161,'619'!D:Q,14,FALSE),0)</f>
        <v>22824.400000000001</v>
      </c>
      <c r="K161" s="59">
        <f>_xlfn.IFNA(VLOOKUP(A161,'619'!D:Q,14,FALSE),0)</f>
        <v>22824.400000000001</v>
      </c>
      <c r="O161" t="s">
        <v>531</v>
      </c>
      <c r="P161">
        <f>_xlfn.IFNA(VLOOKUP(A161,IndirectCost!B:L,11,FALSE),"")</f>
        <v>4.55</v>
      </c>
      <c r="Q161">
        <f t="shared" si="2"/>
        <v>4.5499999999999999E-2</v>
      </c>
    </row>
    <row r="162" spans="1:17">
      <c r="A162" t="s">
        <v>151</v>
      </c>
      <c r="B162" t="s">
        <v>711</v>
      </c>
      <c r="C162" t="str">
        <f>VLOOKUP(A162,Districts!A:I,9,FALSE)</f>
        <v>Choice Academy</v>
      </c>
      <c r="D162" t="str">
        <f>VLOOKUP(A162,Districts!A:P,16,FALSE)</f>
        <v>QFLKJ3VRF1B1</v>
      </c>
      <c r="F162" s="1">
        <v>45200</v>
      </c>
      <c r="G162" t="s">
        <v>529</v>
      </c>
      <c r="H162" t="s">
        <v>530</v>
      </c>
      <c r="I162" s="59">
        <f>_xlfn.IFNA(VLOOKUP(A162,'619'!D:F,3,FALSE),0)</f>
        <v>1693.83</v>
      </c>
      <c r="J162" s="59">
        <f>_xlfn.IFNA(VLOOKUP(A162,'619'!D:Q,14,FALSE),0)</f>
        <v>3184.78</v>
      </c>
      <c r="K162" s="59">
        <f>_xlfn.IFNA(VLOOKUP(A162,'619'!D:Q,14,FALSE),0)</f>
        <v>3184.78</v>
      </c>
      <c r="O162" t="s">
        <v>531</v>
      </c>
      <c r="P162" t="str">
        <f>_xlfn.IFNA(VLOOKUP(A162,IndirectCost!B:L,11,FALSE),"")</f>
        <v/>
      </c>
      <c r="Q162">
        <f t="shared" si="2"/>
        <v>0</v>
      </c>
    </row>
    <row r="163" spans="1:17">
      <c r="A163" t="s">
        <v>152</v>
      </c>
      <c r="B163" t="s">
        <v>712</v>
      </c>
      <c r="C163" t="str">
        <f>VLOOKUP(A163,Districts!A:I,9,FALSE)</f>
        <v>Cholla Academy</v>
      </c>
      <c r="D163" t="str">
        <f>VLOOKUP(A163,Districts!A:P,16,FALSE)</f>
        <v>KLXLEYZ83MG8</v>
      </c>
      <c r="F163" s="1">
        <v>45200</v>
      </c>
      <c r="G163" t="s">
        <v>529</v>
      </c>
      <c r="H163" t="s">
        <v>530</v>
      </c>
      <c r="I163" s="59">
        <f>_xlfn.IFNA(VLOOKUP(A163,'619'!D:F,3,FALSE),0)</f>
        <v>896.8</v>
      </c>
      <c r="J163" s="59">
        <f>_xlfn.IFNA(VLOOKUP(A163,'619'!D:Q,14,FALSE),0)</f>
        <v>0</v>
      </c>
      <c r="K163" s="59">
        <f>_xlfn.IFNA(VLOOKUP(A163,'619'!D:Q,14,FALSE),0)</f>
        <v>0</v>
      </c>
      <c r="O163" t="s">
        <v>531</v>
      </c>
      <c r="P163" t="str">
        <f>_xlfn.IFNA(VLOOKUP(A163,IndirectCost!B:L,11,FALSE),"")</f>
        <v/>
      </c>
      <c r="Q163">
        <f t="shared" si="2"/>
        <v>0</v>
      </c>
    </row>
    <row r="164" spans="1:17">
      <c r="A164" t="s">
        <v>713</v>
      </c>
      <c r="B164" t="s">
        <v>714</v>
      </c>
      <c r="C164" t="str">
        <f>VLOOKUP(A164,Districts!A:I,9,FALSE)</f>
        <v>Cicero Preparatory Academy</v>
      </c>
      <c r="D164" t="str">
        <f>VLOOKUP(A164,Districts!A:P,16,FALSE)</f>
        <v>NZ3JGDL62AJ9</v>
      </c>
      <c r="F164" s="1">
        <v>45200</v>
      </c>
      <c r="G164" t="s">
        <v>529</v>
      </c>
      <c r="H164" t="s">
        <v>530</v>
      </c>
      <c r="I164" s="59">
        <f>_xlfn.IFNA(VLOOKUP(A164,'619'!D:F,3,FALSE),0)</f>
        <v>0</v>
      </c>
      <c r="J164" s="59">
        <f>_xlfn.IFNA(VLOOKUP(A164,'619'!D:Q,14,FALSE),0)</f>
        <v>0</v>
      </c>
      <c r="K164" s="59">
        <f>_xlfn.IFNA(VLOOKUP(A164,'619'!D:Q,14,FALSE),0)</f>
        <v>0</v>
      </c>
      <c r="O164" t="s">
        <v>531</v>
      </c>
      <c r="P164">
        <f>_xlfn.IFNA(VLOOKUP(A164,IndirectCost!B:L,11,FALSE),"")</f>
        <v>8</v>
      </c>
      <c r="Q164">
        <f t="shared" si="2"/>
        <v>0.08</v>
      </c>
    </row>
    <row r="165" spans="1:17">
      <c r="A165" t="s">
        <v>715</v>
      </c>
      <c r="B165" t="s">
        <v>716</v>
      </c>
      <c r="C165" t="str">
        <f>VLOOKUP(A165,Districts!A:I,9,FALSE)</f>
        <v>CITY Center for Collaborative Learning</v>
      </c>
      <c r="D165" t="str">
        <f>VLOOKUP(A165,Districts!A:P,16,FALSE)</f>
        <v>GT4TRNM8DR69</v>
      </c>
      <c r="F165" s="1">
        <v>45200</v>
      </c>
      <c r="G165" t="s">
        <v>529</v>
      </c>
      <c r="H165" t="s">
        <v>530</v>
      </c>
      <c r="I165" s="59">
        <f>_xlfn.IFNA(VLOOKUP(A165,'619'!D:F,3,FALSE),0)</f>
        <v>0</v>
      </c>
      <c r="J165" s="59">
        <f>_xlfn.IFNA(VLOOKUP(A165,'619'!D:Q,14,FALSE),0)</f>
        <v>0</v>
      </c>
      <c r="K165" s="59">
        <f>_xlfn.IFNA(VLOOKUP(A165,'619'!D:Q,14,FALSE),0)</f>
        <v>0</v>
      </c>
      <c r="O165" t="s">
        <v>531</v>
      </c>
      <c r="P165">
        <f>_xlfn.IFNA(VLOOKUP(A165,IndirectCost!B:L,11,FALSE),"")</f>
        <v>8</v>
      </c>
      <c r="Q165">
        <f t="shared" si="2"/>
        <v>0.08</v>
      </c>
    </row>
    <row r="166" spans="1:17">
      <c r="A166" t="s">
        <v>153</v>
      </c>
      <c r="B166" t="s">
        <v>717</v>
      </c>
      <c r="C166" t="str">
        <f>VLOOKUP(A166,Districts!A:I,9,FALSE)</f>
        <v>Clarkdale-Jerome School District</v>
      </c>
      <c r="D166" t="str">
        <f>VLOOKUP(A166,Districts!A:P,16,FALSE)</f>
        <v>PFNSTM1KP9X9</v>
      </c>
      <c r="F166" s="1">
        <v>45200</v>
      </c>
      <c r="G166" t="s">
        <v>529</v>
      </c>
      <c r="H166" t="s">
        <v>530</v>
      </c>
      <c r="I166" s="59">
        <f>_xlfn.IFNA(VLOOKUP(A166,'619'!D:F,3,FALSE),0)</f>
        <v>1760.16</v>
      </c>
      <c r="J166" s="59">
        <f>_xlfn.IFNA(VLOOKUP(A166,'619'!D:Q,14,FALSE),0)</f>
        <v>1760.16</v>
      </c>
      <c r="K166" s="59">
        <f>_xlfn.IFNA(VLOOKUP(A166,'619'!D:Q,14,FALSE),0)</f>
        <v>1760.16</v>
      </c>
      <c r="O166" t="s">
        <v>531</v>
      </c>
      <c r="P166">
        <f>_xlfn.IFNA(VLOOKUP(A166,IndirectCost!B:L,11,FALSE),"")</f>
        <v>4.99</v>
      </c>
      <c r="Q166">
        <f t="shared" si="2"/>
        <v>4.99E-2</v>
      </c>
    </row>
    <row r="167" spans="1:17">
      <c r="A167" t="s">
        <v>154</v>
      </c>
      <c r="B167" t="s">
        <v>718</v>
      </c>
      <c r="C167" t="str">
        <f>VLOOKUP(A167,Districts!A:I,9,FALSE)</f>
        <v>Cochise Community</v>
      </c>
      <c r="D167" t="str">
        <f>VLOOKUP(A167,Districts!A:P,16,FALSE)</f>
        <v>CZERZG2EALZ3</v>
      </c>
      <c r="F167" s="1">
        <v>45200</v>
      </c>
      <c r="G167" t="s">
        <v>529</v>
      </c>
      <c r="H167" t="s">
        <v>530</v>
      </c>
      <c r="I167" s="59">
        <f>_xlfn.IFNA(VLOOKUP(A167,'619'!D:F,3,FALSE),0)</f>
        <v>572.96</v>
      </c>
      <c r="J167" s="59">
        <f>_xlfn.IFNA(VLOOKUP(A167,'619'!D:Q,14,FALSE),0)</f>
        <v>572.96</v>
      </c>
      <c r="K167" s="59">
        <f>_xlfn.IFNA(VLOOKUP(A167,'619'!D:Q,14,FALSE),0)</f>
        <v>572.96</v>
      </c>
      <c r="O167" t="s">
        <v>531</v>
      </c>
      <c r="P167" t="str">
        <f>_xlfn.IFNA(VLOOKUP(A167,IndirectCost!B:L,11,FALSE),"")</f>
        <v/>
      </c>
      <c r="Q167">
        <f t="shared" si="2"/>
        <v>0</v>
      </c>
    </row>
    <row r="168" spans="1:17">
      <c r="A168" t="s">
        <v>719</v>
      </c>
      <c r="B168" t="s">
        <v>720</v>
      </c>
      <c r="C168" t="str">
        <f>VLOOKUP(A168,Districts!A:I,9,FALSE)</f>
        <v>Cochise County Accommodation District</v>
      </c>
      <c r="D168" t="str">
        <f>VLOOKUP(A168,Districts!A:P,16,FALSE)</f>
        <v>TGHYU63NZDA1</v>
      </c>
      <c r="F168" s="1">
        <v>45200</v>
      </c>
      <c r="G168" t="s">
        <v>529</v>
      </c>
      <c r="H168" t="s">
        <v>530</v>
      </c>
      <c r="I168" s="59">
        <f>_xlfn.IFNA(VLOOKUP(A168,'619'!D:F,3,FALSE),0)</f>
        <v>0</v>
      </c>
      <c r="J168" s="59">
        <f>_xlfn.IFNA(VLOOKUP(A168,'619'!D:Q,14,FALSE),0)</f>
        <v>0</v>
      </c>
      <c r="K168" s="59">
        <f>_xlfn.IFNA(VLOOKUP(A168,'619'!D:Q,14,FALSE),0)</f>
        <v>0</v>
      </c>
      <c r="O168" t="s">
        <v>531</v>
      </c>
      <c r="P168" t="str">
        <f>_xlfn.IFNA(VLOOKUP(A168,IndirectCost!B:L,11,FALSE),"")</f>
        <v/>
      </c>
      <c r="Q168">
        <f t="shared" si="2"/>
        <v>0</v>
      </c>
    </row>
    <row r="169" spans="1:17">
      <c r="A169" t="s">
        <v>721</v>
      </c>
      <c r="B169" t="s">
        <v>722</v>
      </c>
      <c r="C169" t="str">
        <f>VLOOKUP(A169,Districts!A:I,9,FALSE)</f>
        <v>County of Cochise</v>
      </c>
      <c r="D169" t="str">
        <f>VLOOKUP(A169,Districts!A:P,16,FALSE)</f>
        <v>LNCRRL2K1DA9</v>
      </c>
      <c r="F169" s="1">
        <v>45200</v>
      </c>
      <c r="G169" t="s">
        <v>529</v>
      </c>
      <c r="H169" t="s">
        <v>530</v>
      </c>
      <c r="I169" s="59">
        <f>_xlfn.IFNA(VLOOKUP(A169,'619'!D:F,3,FALSE),0)</f>
        <v>0</v>
      </c>
      <c r="J169" s="59">
        <f>_xlfn.IFNA(VLOOKUP(A169,'619'!D:Q,14,FALSE),0)</f>
        <v>0</v>
      </c>
      <c r="K169" s="59">
        <f>_xlfn.IFNA(VLOOKUP(A169,'619'!D:Q,14,FALSE),0)</f>
        <v>0</v>
      </c>
      <c r="O169" t="s">
        <v>531</v>
      </c>
      <c r="P169" t="str">
        <f>_xlfn.IFNA(VLOOKUP(A169,IndirectCost!B:L,11,FALSE),"")</f>
        <v/>
      </c>
      <c r="Q169">
        <f t="shared" si="2"/>
        <v>0</v>
      </c>
    </row>
    <row r="170" spans="1:17">
      <c r="A170" t="s">
        <v>155</v>
      </c>
      <c r="B170" t="s">
        <v>723</v>
      </c>
      <c r="C170" t="str">
        <f>VLOOKUP(A170,Districts!A:I,9,FALSE)</f>
        <v>COCHISE SCHOOL DISTRICT 26</v>
      </c>
      <c r="D170" t="str">
        <f>VLOOKUP(A170,Districts!A:P,16,FALSE)</f>
        <v>UZVJRTM6DMB8</v>
      </c>
      <c r="F170" s="1">
        <v>45200</v>
      </c>
      <c r="G170" t="s">
        <v>529</v>
      </c>
      <c r="H170" t="s">
        <v>530</v>
      </c>
      <c r="I170" s="59">
        <f>_xlfn.IFNA(VLOOKUP(A170,'619'!D:F,3,FALSE),0)</f>
        <v>355.87</v>
      </c>
      <c r="J170" s="59">
        <f>_xlfn.IFNA(VLOOKUP(A170,'619'!D:Q,14,FALSE),0)</f>
        <v>0</v>
      </c>
      <c r="K170" s="59">
        <f>_xlfn.IFNA(VLOOKUP(A170,'619'!D:Q,14,FALSE),0)</f>
        <v>0</v>
      </c>
      <c r="O170" t="s">
        <v>531</v>
      </c>
      <c r="P170" t="str">
        <f>_xlfn.IFNA(VLOOKUP(A170,IndirectCost!B:L,11,FALSE),"")</f>
        <v/>
      </c>
      <c r="Q170">
        <f t="shared" si="2"/>
        <v>0</v>
      </c>
    </row>
    <row r="171" spans="1:17">
      <c r="A171" t="s">
        <v>724</v>
      </c>
      <c r="B171" t="s">
        <v>725</v>
      </c>
      <c r="C171" t="str">
        <f>VLOOKUP(A171,Districts!A:I,9,FALSE)</f>
        <v>Coconino County Accommodation School District</v>
      </c>
      <c r="D171" t="str">
        <f>VLOOKUP(A171,Districts!A:P,16,FALSE)</f>
        <v>F7NRZLN1L6A3</v>
      </c>
      <c r="F171" s="1">
        <v>45200</v>
      </c>
      <c r="G171" t="s">
        <v>529</v>
      </c>
      <c r="H171" t="s">
        <v>530</v>
      </c>
      <c r="I171" s="59">
        <f>_xlfn.IFNA(VLOOKUP(A171,'619'!D:F,3,FALSE),0)</f>
        <v>0</v>
      </c>
      <c r="J171" s="59">
        <f>_xlfn.IFNA(VLOOKUP(A171,'619'!D:Q,14,FALSE),0)</f>
        <v>0</v>
      </c>
      <c r="K171" s="59">
        <f>_xlfn.IFNA(VLOOKUP(A171,'619'!D:Q,14,FALSE),0)</f>
        <v>0</v>
      </c>
      <c r="O171" t="s">
        <v>531</v>
      </c>
      <c r="P171">
        <f>_xlfn.IFNA(VLOOKUP(A171,IndirectCost!B:L,11,FALSE),"")</f>
        <v>0</v>
      </c>
      <c r="Q171">
        <f t="shared" si="2"/>
        <v>0</v>
      </c>
    </row>
    <row r="172" spans="1:17">
      <c r="A172" t="s">
        <v>156</v>
      </c>
      <c r="B172" t="s">
        <v>726</v>
      </c>
      <c r="C172" t="str">
        <f>VLOOKUP(A172,Districts!A:I,9,FALSE)</f>
        <v>Colearn Academy Arizona</v>
      </c>
      <c r="D172" t="str">
        <f>VLOOKUP(A172,Districts!A:P,16,FALSE)</f>
        <v>ZR8EN6GDFAE8</v>
      </c>
      <c r="F172" s="1">
        <v>45200</v>
      </c>
      <c r="G172" t="s">
        <v>529</v>
      </c>
      <c r="H172" t="s">
        <v>530</v>
      </c>
      <c r="I172" s="59">
        <f>_xlfn.IFNA(VLOOKUP(A172,'619'!D:F,3,FALSE),0)</f>
        <v>141.99</v>
      </c>
      <c r="J172" s="59">
        <f>_xlfn.IFNA(VLOOKUP(A172,'619'!D:Q,14,FALSE),0)</f>
        <v>0</v>
      </c>
      <c r="K172" s="59">
        <f>_xlfn.IFNA(VLOOKUP(A172,'619'!D:Q,14,FALSE),0)</f>
        <v>0</v>
      </c>
      <c r="O172" t="s">
        <v>531</v>
      </c>
      <c r="P172" t="str">
        <f>_xlfn.IFNA(VLOOKUP(A172,IndirectCost!B:L,11,FALSE),"")</f>
        <v/>
      </c>
      <c r="Q172">
        <f t="shared" si="2"/>
        <v>0</v>
      </c>
    </row>
    <row r="173" spans="1:17">
      <c r="A173" t="s">
        <v>157</v>
      </c>
      <c r="B173" t="s">
        <v>727</v>
      </c>
      <c r="C173" t="str">
        <f>VLOOKUP(A173,Districts!A:I,9,FALSE)</f>
        <v>COLORADO CITY UNIFIED SCHOOL DISTRICT NO. 14</v>
      </c>
      <c r="D173" t="str">
        <f>VLOOKUP(A173,Districts!A:P,16,FALSE)</f>
        <v>GK87ERDYH3C3</v>
      </c>
      <c r="F173" s="1">
        <v>45200</v>
      </c>
      <c r="G173" t="s">
        <v>529</v>
      </c>
      <c r="H173" t="s">
        <v>530</v>
      </c>
      <c r="I173" s="59">
        <f>_xlfn.IFNA(VLOOKUP(A173,'619'!D:F,3,FALSE),0)</f>
        <v>17644.830000000002</v>
      </c>
      <c r="J173" s="59">
        <f>_xlfn.IFNA(VLOOKUP(A173,'619'!D:Q,14,FALSE),0)</f>
        <v>24419.15</v>
      </c>
      <c r="K173" s="59">
        <f>_xlfn.IFNA(VLOOKUP(A173,'619'!D:Q,14,FALSE),0)</f>
        <v>24419.15</v>
      </c>
      <c r="O173" t="s">
        <v>531</v>
      </c>
      <c r="P173">
        <f>_xlfn.IFNA(VLOOKUP(A173,IndirectCost!B:L,11,FALSE),"")</f>
        <v>8</v>
      </c>
      <c r="Q173">
        <f t="shared" si="2"/>
        <v>0.08</v>
      </c>
    </row>
    <row r="174" spans="1:17">
      <c r="A174" t="s">
        <v>728</v>
      </c>
      <c r="B174" t="s">
        <v>729</v>
      </c>
      <c r="C174" t="str">
        <f>VLOOKUP(A174,Districts!A:I,9,FALSE)</f>
        <v>COLORADO RIVER UNION HIGH SCHOOL DISTRICT #2</v>
      </c>
      <c r="D174" t="str">
        <f>VLOOKUP(A174,Districts!A:P,16,FALSE)</f>
        <v>FH55DMKL1FT3</v>
      </c>
      <c r="F174" s="1">
        <v>45200</v>
      </c>
      <c r="G174" t="s">
        <v>529</v>
      </c>
      <c r="H174" t="s">
        <v>530</v>
      </c>
      <c r="I174" s="59">
        <f>_xlfn.IFNA(VLOOKUP(A174,'619'!D:F,3,FALSE),0)</f>
        <v>0</v>
      </c>
      <c r="J174" s="59">
        <f>_xlfn.IFNA(VLOOKUP(A174,'619'!D:Q,14,FALSE),0)</f>
        <v>0</v>
      </c>
      <c r="K174" s="59">
        <f>_xlfn.IFNA(VLOOKUP(A174,'619'!D:Q,14,FALSE),0)</f>
        <v>0</v>
      </c>
      <c r="O174" t="s">
        <v>531</v>
      </c>
      <c r="P174">
        <f>_xlfn.IFNA(VLOOKUP(A174,IndirectCost!B:L,11,FALSE),"")</f>
        <v>8</v>
      </c>
      <c r="Q174">
        <f t="shared" si="2"/>
        <v>0.08</v>
      </c>
    </row>
    <row r="175" spans="1:17">
      <c r="A175" t="s">
        <v>730</v>
      </c>
      <c r="B175" t="s">
        <v>731</v>
      </c>
      <c r="C175" t="str">
        <f>VLOOKUP(A175,Districts!A:I,9,FALSE)</f>
        <v>Compass High School, Inc.</v>
      </c>
      <c r="D175" t="str">
        <f>VLOOKUP(A175,Districts!A:P,16,FALSE)</f>
        <v>GNKNRWLUCZE3</v>
      </c>
      <c r="F175" s="1">
        <v>45200</v>
      </c>
      <c r="G175" t="s">
        <v>529</v>
      </c>
      <c r="H175" t="s">
        <v>530</v>
      </c>
      <c r="I175" s="59">
        <f>_xlfn.IFNA(VLOOKUP(A175,'619'!D:F,3,FALSE),0)</f>
        <v>0</v>
      </c>
      <c r="J175" s="59">
        <f>_xlfn.IFNA(VLOOKUP(A175,'619'!D:Q,14,FALSE),0)</f>
        <v>0</v>
      </c>
      <c r="K175" s="59">
        <f>_xlfn.IFNA(VLOOKUP(A175,'619'!D:Q,14,FALSE),0)</f>
        <v>0</v>
      </c>
      <c r="O175" t="s">
        <v>531</v>
      </c>
      <c r="P175" t="str">
        <f>_xlfn.IFNA(VLOOKUP(A175,IndirectCost!B:L,11,FALSE),"")</f>
        <v/>
      </c>
      <c r="Q175">
        <f t="shared" si="2"/>
        <v>0</v>
      </c>
    </row>
    <row r="176" spans="1:17">
      <c r="A176" t="s">
        <v>732</v>
      </c>
      <c r="B176" t="s">
        <v>733</v>
      </c>
      <c r="C176" t="str">
        <f>VLOOKUP(A176,Districts!A:I,9,FALSE)</f>
        <v>Compass Points International, Inc</v>
      </c>
      <c r="D176" t="str">
        <f>VLOOKUP(A176,Districts!A:P,16,FALSE)</f>
        <v>XXFVRFKL64J6</v>
      </c>
      <c r="F176" s="1">
        <v>45200</v>
      </c>
      <c r="G176" t="s">
        <v>529</v>
      </c>
      <c r="H176" t="s">
        <v>530</v>
      </c>
      <c r="I176" s="59">
        <f>_xlfn.IFNA(VLOOKUP(A176,'619'!D:F,3,FALSE),0)</f>
        <v>0</v>
      </c>
      <c r="J176" s="59">
        <f>_xlfn.IFNA(VLOOKUP(A176,'619'!D:Q,14,FALSE),0)</f>
        <v>0</v>
      </c>
      <c r="K176" s="59">
        <f>_xlfn.IFNA(VLOOKUP(A176,'619'!D:Q,14,FALSE),0)</f>
        <v>0</v>
      </c>
      <c r="O176" t="s">
        <v>531</v>
      </c>
      <c r="P176" t="str">
        <f>_xlfn.IFNA(VLOOKUP(A176,IndirectCost!B:L,11,FALSE),"")</f>
        <v/>
      </c>
      <c r="Q176">
        <f t="shared" si="2"/>
        <v>0</v>
      </c>
    </row>
    <row r="177" spans="1:17">
      <c r="A177" t="s">
        <v>158</v>
      </c>
      <c r="B177" t="s">
        <v>734</v>
      </c>
      <c r="C177" t="str">
        <f>VLOOKUP(A177,Districts!A:I,9,FALSE)</f>
        <v>Concho Elementary School District 6</v>
      </c>
      <c r="D177" t="str">
        <f>VLOOKUP(A177,Districts!A:P,16,FALSE)</f>
        <v>NTK4CGYW9F55</v>
      </c>
      <c r="F177" s="1">
        <v>45200</v>
      </c>
      <c r="G177" t="s">
        <v>529</v>
      </c>
      <c r="H177" t="s">
        <v>530</v>
      </c>
      <c r="I177" s="59">
        <f>_xlfn.IFNA(VLOOKUP(A177,'619'!D:F,3,FALSE),0)</f>
        <v>895.49</v>
      </c>
      <c r="J177" s="59">
        <f>_xlfn.IFNA(VLOOKUP(A177,'619'!D:Q,14,FALSE),0)</f>
        <v>895.49</v>
      </c>
      <c r="K177" s="59">
        <f>_xlfn.IFNA(VLOOKUP(A177,'619'!D:Q,14,FALSE),0)</f>
        <v>895.49</v>
      </c>
      <c r="O177" t="s">
        <v>531</v>
      </c>
      <c r="P177">
        <f>_xlfn.IFNA(VLOOKUP(A177,IndirectCost!B:L,11,FALSE),"")</f>
        <v>3.07</v>
      </c>
      <c r="Q177">
        <f t="shared" si="2"/>
        <v>3.0699999999999998E-2</v>
      </c>
    </row>
    <row r="178" spans="1:17">
      <c r="A178" t="s">
        <v>159</v>
      </c>
      <c r="B178" t="s">
        <v>735</v>
      </c>
      <c r="C178" t="str">
        <f>VLOOKUP(A178,Districts!A:I,9,FALSE)</f>
        <v>Concordia Charter School</v>
      </c>
      <c r="D178" t="str">
        <f>VLOOKUP(A178,Districts!A:P,16,FALSE)</f>
        <v>MG6JEZK4JC11</v>
      </c>
      <c r="F178" s="1">
        <v>45200</v>
      </c>
      <c r="G178" t="s">
        <v>529</v>
      </c>
      <c r="H178" t="s">
        <v>530</v>
      </c>
      <c r="I178" s="59">
        <f>_xlfn.IFNA(VLOOKUP(A178,'619'!D:F,3,FALSE),0)</f>
        <v>359.59</v>
      </c>
      <c r="J178" s="59">
        <f>_xlfn.IFNA(VLOOKUP(A178,'619'!D:Q,14,FALSE),0)</f>
        <v>359.59</v>
      </c>
      <c r="K178" s="59">
        <f>_xlfn.IFNA(VLOOKUP(A178,'619'!D:Q,14,FALSE),0)</f>
        <v>359.59</v>
      </c>
      <c r="O178" t="s">
        <v>531</v>
      </c>
      <c r="P178">
        <f>_xlfn.IFNA(VLOOKUP(A178,IndirectCost!B:L,11,FALSE),"")</f>
        <v>0</v>
      </c>
      <c r="Q178">
        <f t="shared" si="2"/>
        <v>0</v>
      </c>
    </row>
    <row r="179" spans="1:17">
      <c r="A179" t="s">
        <v>160</v>
      </c>
      <c r="B179" t="s">
        <v>736</v>
      </c>
      <c r="C179" t="str">
        <f>VLOOKUP(A179,Districts!A:I,9,FALSE)</f>
        <v>Congress Elementary School District</v>
      </c>
      <c r="D179" t="str">
        <f>VLOOKUP(A179,Districts!A:P,16,FALSE)</f>
        <v>XJXUF89GW4B9</v>
      </c>
      <c r="F179" s="1">
        <v>45200</v>
      </c>
      <c r="G179" t="s">
        <v>529</v>
      </c>
      <c r="H179" t="s">
        <v>530</v>
      </c>
      <c r="I179" s="59">
        <f>_xlfn.IFNA(VLOOKUP(A179,'619'!D:F,3,FALSE),0)</f>
        <v>483.94</v>
      </c>
      <c r="J179" s="59">
        <f>_xlfn.IFNA(VLOOKUP(A179,'619'!D:Q,14,FALSE),0)</f>
        <v>483.94</v>
      </c>
      <c r="K179" s="59">
        <f>_xlfn.IFNA(VLOOKUP(A179,'619'!D:Q,14,FALSE),0)</f>
        <v>483.94</v>
      </c>
      <c r="O179" t="s">
        <v>531</v>
      </c>
      <c r="P179" t="str">
        <f>_xlfn.IFNA(VLOOKUP(A179,IndirectCost!B:L,11,FALSE),"")</f>
        <v/>
      </c>
      <c r="Q179">
        <f t="shared" si="2"/>
        <v>0</v>
      </c>
    </row>
    <row r="180" spans="1:17">
      <c r="A180" t="s">
        <v>161</v>
      </c>
      <c r="B180" t="s">
        <v>737</v>
      </c>
      <c r="C180" t="str">
        <f>VLOOKUP(A180,Districts!A:I,9,FALSE)</f>
        <v>Continental School District 39</v>
      </c>
      <c r="D180" t="str">
        <f>VLOOKUP(A180,Districts!A:P,16,FALSE)</f>
        <v>ZEQMVQXSCU85</v>
      </c>
      <c r="F180" s="1">
        <v>45200</v>
      </c>
      <c r="G180" t="s">
        <v>529</v>
      </c>
      <c r="H180" t="s">
        <v>530</v>
      </c>
      <c r="I180" s="59">
        <f>_xlfn.IFNA(VLOOKUP(A180,'619'!D:F,3,FALSE),0)</f>
        <v>3370.49</v>
      </c>
      <c r="J180" s="59">
        <f>_xlfn.IFNA(VLOOKUP(A180,'619'!D:Q,14,FALSE),0)</f>
        <v>4094.34</v>
      </c>
      <c r="K180" s="59">
        <f>_xlfn.IFNA(VLOOKUP(A180,'619'!D:Q,14,FALSE),0)</f>
        <v>4094.34</v>
      </c>
      <c r="O180" t="s">
        <v>531</v>
      </c>
      <c r="P180" t="str">
        <f>_xlfn.IFNA(VLOOKUP(A180,IndirectCost!B:L,11,FALSE),"")</f>
        <v/>
      </c>
      <c r="Q180">
        <f t="shared" si="2"/>
        <v>0</v>
      </c>
    </row>
    <row r="181" spans="1:17">
      <c r="A181" t="s">
        <v>162</v>
      </c>
      <c r="B181" t="s">
        <v>738</v>
      </c>
      <c r="C181" t="str">
        <f>VLOOKUP(A181,Districts!A:I,9,FALSE)</f>
        <v>Coolidge School District</v>
      </c>
      <c r="D181" t="str">
        <f>VLOOKUP(A181,Districts!A:P,16,FALSE)</f>
        <v>UL8LYVJBBLH9</v>
      </c>
      <c r="F181" s="1">
        <v>45200</v>
      </c>
      <c r="G181" t="s">
        <v>529</v>
      </c>
      <c r="H181" t="s">
        <v>530</v>
      </c>
      <c r="I181" s="59">
        <f>_xlfn.IFNA(VLOOKUP(A181,'619'!D:F,3,FALSE),0)</f>
        <v>16743.7</v>
      </c>
      <c r="J181" s="59">
        <f>_xlfn.IFNA(VLOOKUP(A181,'619'!D:Q,14,FALSE),0)</f>
        <v>22811.94</v>
      </c>
      <c r="K181" s="59">
        <f>_xlfn.IFNA(VLOOKUP(A181,'619'!D:Q,14,FALSE),0)</f>
        <v>22811.94</v>
      </c>
      <c r="O181" t="s">
        <v>531</v>
      </c>
      <c r="P181">
        <f>_xlfn.IFNA(VLOOKUP(A181,IndirectCost!B:L,11,FALSE),"")</f>
        <v>4.84</v>
      </c>
      <c r="Q181">
        <f t="shared" si="2"/>
        <v>4.8399999999999999E-2</v>
      </c>
    </row>
    <row r="182" spans="1:17">
      <c r="A182" t="s">
        <v>739</v>
      </c>
      <c r="B182" t="s">
        <v>740</v>
      </c>
      <c r="C182" t="str">
        <f>VLOOKUP(A182,Districts!A:I,9,FALSE)</f>
        <v>Copper State Academy</v>
      </c>
      <c r="D182" t="str">
        <f>VLOOKUP(A182,Districts!A:P,16,FALSE)</f>
        <v>RJ2XRB5WRYJ7</v>
      </c>
      <c r="F182" s="1">
        <v>45200</v>
      </c>
      <c r="G182" t="s">
        <v>529</v>
      </c>
      <c r="H182" t="s">
        <v>530</v>
      </c>
      <c r="I182" s="59">
        <f>_xlfn.IFNA(VLOOKUP(A182,'619'!D:F,3,FALSE),0)</f>
        <v>0</v>
      </c>
      <c r="J182" s="59">
        <f>_xlfn.IFNA(VLOOKUP(A182,'619'!D:Q,14,FALSE),0)</f>
        <v>0</v>
      </c>
      <c r="K182" s="59">
        <f>_xlfn.IFNA(VLOOKUP(A182,'619'!D:Q,14,FALSE),0)</f>
        <v>0</v>
      </c>
      <c r="O182" t="s">
        <v>531</v>
      </c>
      <c r="P182" t="str">
        <f>_xlfn.IFNA(VLOOKUP(A182,IndirectCost!B:L,11,FALSE),"")</f>
        <v/>
      </c>
      <c r="Q182">
        <f t="shared" si="2"/>
        <v>0</v>
      </c>
    </row>
    <row r="183" spans="1:17">
      <c r="A183" t="s">
        <v>741</v>
      </c>
      <c r="B183" t="s">
        <v>742</v>
      </c>
      <c r="C183" t="str">
        <f>VLOOKUP(A183,Districts!A:I,9,FALSE)</f>
        <v>Cornerstone Charter School, Inc.</v>
      </c>
      <c r="D183" t="str">
        <f>VLOOKUP(A183,Districts!A:P,16,FALSE)</f>
        <v>MKMXJZEQLMH6</v>
      </c>
      <c r="F183" s="1">
        <v>45200</v>
      </c>
      <c r="G183" t="s">
        <v>529</v>
      </c>
      <c r="H183" t="s">
        <v>530</v>
      </c>
      <c r="I183" s="59">
        <f>_xlfn.IFNA(VLOOKUP(A183,'619'!D:F,3,FALSE),0)</f>
        <v>0</v>
      </c>
      <c r="J183" s="59">
        <f>_xlfn.IFNA(VLOOKUP(A183,'619'!D:Q,14,FALSE),0)</f>
        <v>0</v>
      </c>
      <c r="K183" s="59">
        <f>_xlfn.IFNA(VLOOKUP(A183,'619'!D:Q,14,FALSE),0)</f>
        <v>0</v>
      </c>
      <c r="O183" t="s">
        <v>531</v>
      </c>
      <c r="P183" t="str">
        <f>_xlfn.IFNA(VLOOKUP(A183,IndirectCost!B:L,11,FALSE),"")</f>
        <v/>
      </c>
      <c r="Q183">
        <f t="shared" si="2"/>
        <v>0</v>
      </c>
    </row>
    <row r="184" spans="1:17">
      <c r="A184" t="s">
        <v>743</v>
      </c>
      <c r="B184" t="s">
        <v>744</v>
      </c>
      <c r="C184" t="str">
        <f>VLOOKUP(A184,Districts!A:I,9,FALSE)</f>
        <v>CORTEZ PARK CHARTER SCHOOL</v>
      </c>
      <c r="D184" t="str">
        <f>VLOOKUP(A184,Districts!A:P,16,FALSE)</f>
        <v>EJJNL9369DF3</v>
      </c>
      <c r="F184" s="1">
        <v>45200</v>
      </c>
      <c r="G184" t="s">
        <v>529</v>
      </c>
      <c r="H184" t="s">
        <v>530</v>
      </c>
      <c r="I184" s="59">
        <f>_xlfn.IFNA(VLOOKUP(A184,'619'!D:F,3,FALSE),0)</f>
        <v>0</v>
      </c>
      <c r="J184" s="59">
        <f>_xlfn.IFNA(VLOOKUP(A184,'619'!D:Q,14,FALSE),0)</f>
        <v>0</v>
      </c>
      <c r="K184" s="59">
        <f>_xlfn.IFNA(VLOOKUP(A184,'619'!D:Q,14,FALSE),0)</f>
        <v>0</v>
      </c>
      <c r="O184" t="s">
        <v>531</v>
      </c>
      <c r="P184" t="str">
        <f>_xlfn.IFNA(VLOOKUP(A184,IndirectCost!B:L,11,FALSE),"")</f>
        <v/>
      </c>
      <c r="Q184">
        <f t="shared" si="2"/>
        <v>0</v>
      </c>
    </row>
    <row r="185" spans="1:17">
      <c r="A185" t="s">
        <v>163</v>
      </c>
      <c r="B185" t="s">
        <v>745</v>
      </c>
      <c r="C185" t="str">
        <f>VLOOKUP(A185,Districts!A:I,9,FALSE)</f>
        <v>COTTONWOOD OAK CREEK SCHOOL DISTRICT</v>
      </c>
      <c r="D185" t="str">
        <f>VLOOKUP(A185,Districts!A:P,16,FALSE)</f>
        <v>HZ24A4J4XWJ7</v>
      </c>
      <c r="F185" s="1">
        <v>45200</v>
      </c>
      <c r="G185" t="s">
        <v>529</v>
      </c>
      <c r="H185" t="s">
        <v>530</v>
      </c>
      <c r="I185" s="59">
        <f>_xlfn.IFNA(VLOOKUP(A185,'619'!D:F,3,FALSE),0)</f>
        <v>14504.03</v>
      </c>
      <c r="J185" s="59">
        <f>_xlfn.IFNA(VLOOKUP(A185,'619'!D:Q,14,FALSE),0)</f>
        <v>14504.03</v>
      </c>
      <c r="K185" s="59">
        <f>_xlfn.IFNA(VLOOKUP(A185,'619'!D:Q,14,FALSE),0)</f>
        <v>14504.03</v>
      </c>
      <c r="O185" t="s">
        <v>531</v>
      </c>
      <c r="P185">
        <f>_xlfn.IFNA(VLOOKUP(A185,IndirectCost!B:L,11,FALSE),"")</f>
        <v>8</v>
      </c>
      <c r="Q185">
        <f t="shared" si="2"/>
        <v>0.08</v>
      </c>
    </row>
    <row r="186" spans="1:17">
      <c r="A186" t="s">
        <v>164</v>
      </c>
      <c r="B186" t="s">
        <v>746</v>
      </c>
      <c r="C186" t="str">
        <f>VLOOKUP(A186,Districts!A:I,9,FALSE)</f>
        <v>Country Gardens Charter Schools</v>
      </c>
      <c r="D186" t="str">
        <f>VLOOKUP(A186,Districts!A:P,16,FALSE)</f>
        <v>UKY2MKFJ1796</v>
      </c>
      <c r="F186" s="1">
        <v>45200</v>
      </c>
      <c r="G186" t="s">
        <v>529</v>
      </c>
      <c r="H186" t="s">
        <v>530</v>
      </c>
      <c r="I186" s="59">
        <f>_xlfn.IFNA(VLOOKUP(A186,'619'!D:F,3,FALSE),0)</f>
        <v>354.73</v>
      </c>
      <c r="J186" s="59">
        <f>_xlfn.IFNA(VLOOKUP(A186,'619'!D:Q,14,FALSE),0)</f>
        <v>354.73</v>
      </c>
      <c r="K186" s="59">
        <f>_xlfn.IFNA(VLOOKUP(A186,'619'!D:Q,14,FALSE),0)</f>
        <v>354.73</v>
      </c>
      <c r="O186" t="s">
        <v>531</v>
      </c>
      <c r="P186" t="str">
        <f>_xlfn.IFNA(VLOOKUP(A186,IndirectCost!B:L,11,FALSE),"")</f>
        <v/>
      </c>
      <c r="Q186">
        <f t="shared" si="2"/>
        <v>0</v>
      </c>
    </row>
    <row r="187" spans="1:17">
      <c r="A187" t="s">
        <v>747</v>
      </c>
      <c r="B187" t="s">
        <v>748</v>
      </c>
      <c r="C187" t="str">
        <f>VLOOKUP(A187,Districts!A:I,9,FALSE)</f>
        <v>CPLC Community Schools</v>
      </c>
      <c r="D187" t="str">
        <f>VLOOKUP(A187,Districts!A:P,16,FALSE)</f>
        <v>Y63RK3FN3MG3</v>
      </c>
      <c r="F187" s="1">
        <v>45200</v>
      </c>
      <c r="G187" t="s">
        <v>529</v>
      </c>
      <c r="H187" t="s">
        <v>530</v>
      </c>
      <c r="I187" s="59">
        <f>_xlfn.IFNA(VLOOKUP(A187,'619'!D:F,3,FALSE),0)</f>
        <v>0</v>
      </c>
      <c r="J187" s="59">
        <f>_xlfn.IFNA(VLOOKUP(A187,'619'!D:Q,14,FALSE),0)</f>
        <v>0</v>
      </c>
      <c r="K187" s="59">
        <f>_xlfn.IFNA(VLOOKUP(A187,'619'!D:Q,14,FALSE),0)</f>
        <v>0</v>
      </c>
      <c r="O187" t="s">
        <v>531</v>
      </c>
      <c r="P187" t="str">
        <f>_xlfn.IFNA(VLOOKUP(A187,IndirectCost!B:L,11,FALSE),"")</f>
        <v/>
      </c>
      <c r="Q187">
        <f t="shared" si="2"/>
        <v>0</v>
      </c>
    </row>
    <row r="188" spans="1:17">
      <c r="A188" t="s">
        <v>749</v>
      </c>
      <c r="B188" t="s">
        <v>750</v>
      </c>
      <c r="C188" t="str">
        <f>VLOOKUP(A188,Districts!A:I,9,FALSE)</f>
        <v>CPLC Community Schools</v>
      </c>
      <c r="D188" t="str">
        <f>VLOOKUP(A188,Districts!A:P,16,FALSE)</f>
        <v>Y63RK3FN3MG3</v>
      </c>
      <c r="F188" s="1">
        <v>45200</v>
      </c>
      <c r="G188" t="s">
        <v>529</v>
      </c>
      <c r="H188" t="s">
        <v>530</v>
      </c>
      <c r="I188" s="59">
        <f>_xlfn.IFNA(VLOOKUP(A188,'619'!D:F,3,FALSE),0)</f>
        <v>0</v>
      </c>
      <c r="J188" s="59">
        <f>_xlfn.IFNA(VLOOKUP(A188,'619'!D:Q,14,FALSE),0)</f>
        <v>0</v>
      </c>
      <c r="K188" s="59">
        <f>_xlfn.IFNA(VLOOKUP(A188,'619'!D:Q,14,FALSE),0)</f>
        <v>0</v>
      </c>
      <c r="O188" t="s">
        <v>531</v>
      </c>
      <c r="P188" t="str">
        <f>_xlfn.IFNA(VLOOKUP(A188,IndirectCost!B:L,11,FALSE),"")</f>
        <v/>
      </c>
      <c r="Q188">
        <f t="shared" si="2"/>
        <v>0</v>
      </c>
    </row>
    <row r="189" spans="1:17">
      <c r="A189" t="s">
        <v>751</v>
      </c>
      <c r="B189" t="s">
        <v>752</v>
      </c>
      <c r="C189" t="str">
        <f>VLOOKUP(A189,Districts!A:I,9,FALSE)</f>
        <v>CPLC Community Schools</v>
      </c>
      <c r="D189" t="str">
        <f>VLOOKUP(A189,Districts!A:P,16,FALSE)</f>
        <v>Y63RK3FN3MG3</v>
      </c>
      <c r="F189" s="1">
        <v>45200</v>
      </c>
      <c r="G189" t="s">
        <v>529</v>
      </c>
      <c r="H189" t="s">
        <v>530</v>
      </c>
      <c r="I189" s="59">
        <f>_xlfn.IFNA(VLOOKUP(A189,'619'!D:F,3,FALSE),0)</f>
        <v>0</v>
      </c>
      <c r="J189" s="59">
        <f>_xlfn.IFNA(VLOOKUP(A189,'619'!D:Q,14,FALSE),0)</f>
        <v>0</v>
      </c>
      <c r="K189" s="59">
        <f>_xlfn.IFNA(VLOOKUP(A189,'619'!D:Q,14,FALSE),0)</f>
        <v>0</v>
      </c>
      <c r="O189" t="s">
        <v>531</v>
      </c>
      <c r="P189" t="str">
        <f>_xlfn.IFNA(VLOOKUP(A189,IndirectCost!B:L,11,FALSE),"")</f>
        <v/>
      </c>
      <c r="Q189">
        <f t="shared" si="2"/>
        <v>0</v>
      </c>
    </row>
    <row r="190" spans="1:17">
      <c r="A190" t="s">
        <v>165</v>
      </c>
      <c r="B190" t="s">
        <v>753</v>
      </c>
      <c r="C190" t="str">
        <f>VLOOKUP(A190,Districts!A:I,9,FALSE)</f>
        <v>Crane Elementary School District</v>
      </c>
      <c r="D190" t="str">
        <f>VLOOKUP(A190,Districts!A:P,16,FALSE)</f>
        <v>FQLAFBJCWKN6</v>
      </c>
      <c r="F190" s="1">
        <v>45200</v>
      </c>
      <c r="G190" t="s">
        <v>529</v>
      </c>
      <c r="H190" t="s">
        <v>530</v>
      </c>
      <c r="I190" s="59">
        <f>_xlfn.IFNA(VLOOKUP(A190,'619'!D:F,3,FALSE),0)</f>
        <v>22652.35</v>
      </c>
      <c r="J190" s="59">
        <f>_xlfn.IFNA(VLOOKUP(A190,'619'!D:Q,14,FALSE),0)</f>
        <v>24606.99</v>
      </c>
      <c r="K190" s="59">
        <f>_xlfn.IFNA(VLOOKUP(A190,'619'!D:Q,14,FALSE),0)</f>
        <v>24606.99</v>
      </c>
      <c r="O190" t="s">
        <v>531</v>
      </c>
      <c r="P190">
        <f>_xlfn.IFNA(VLOOKUP(A190,IndirectCost!B:L,11,FALSE),"")</f>
        <v>0</v>
      </c>
      <c r="Q190">
        <f t="shared" si="2"/>
        <v>0</v>
      </c>
    </row>
    <row r="191" spans="1:17">
      <c r="A191" t="s">
        <v>166</v>
      </c>
      <c r="B191" t="s">
        <v>754</v>
      </c>
      <c r="C191" t="str">
        <f>VLOOKUP(A191,Districts!A:I,9,FALSE)</f>
        <v>Creighton School District #14</v>
      </c>
      <c r="D191" t="str">
        <f>VLOOKUP(A191,Districts!A:P,16,FALSE)</f>
        <v>NQ8DLM6LLNB1</v>
      </c>
      <c r="F191" s="1">
        <v>45200</v>
      </c>
      <c r="G191" t="s">
        <v>529</v>
      </c>
      <c r="H191" t="s">
        <v>530</v>
      </c>
      <c r="I191" s="59">
        <f>_xlfn.IFNA(VLOOKUP(A191,'619'!D:F,3,FALSE),0)</f>
        <v>59341.34</v>
      </c>
      <c r="J191" s="59">
        <f>_xlfn.IFNA(VLOOKUP(A191,'619'!D:Q,14,FALSE),0)</f>
        <v>111694.66</v>
      </c>
      <c r="K191" s="59">
        <f>_xlfn.IFNA(VLOOKUP(A191,'619'!D:Q,14,FALSE),0)</f>
        <v>111694.66</v>
      </c>
      <c r="O191" t="s">
        <v>531</v>
      </c>
      <c r="P191">
        <f>_xlfn.IFNA(VLOOKUP(A191,IndirectCost!B:L,11,FALSE),"")</f>
        <v>8</v>
      </c>
      <c r="Q191">
        <f t="shared" si="2"/>
        <v>0.08</v>
      </c>
    </row>
    <row r="192" spans="1:17">
      <c r="A192" t="s">
        <v>167</v>
      </c>
      <c r="B192" t="s">
        <v>755</v>
      </c>
      <c r="C192" t="str">
        <f>VLOOKUP(A192,Districts!A:I,9,FALSE)</f>
        <v>Crown Charter School, Inc.</v>
      </c>
      <c r="D192" t="str">
        <f>VLOOKUP(A192,Districts!A:P,16,FALSE)</f>
        <v>GANCJKAAHKF4</v>
      </c>
      <c r="F192" s="1">
        <v>45200</v>
      </c>
      <c r="G192" t="s">
        <v>529</v>
      </c>
      <c r="H192" t="s">
        <v>530</v>
      </c>
      <c r="I192" s="59">
        <f>_xlfn.IFNA(VLOOKUP(A192,'619'!D:F,3,FALSE),0)</f>
        <v>1077.77</v>
      </c>
      <c r="J192" s="59">
        <f>_xlfn.IFNA(VLOOKUP(A192,'619'!D:Q,14,FALSE),0)</f>
        <v>1077.77</v>
      </c>
      <c r="K192" s="59">
        <f>_xlfn.IFNA(VLOOKUP(A192,'619'!D:Q,14,FALSE),0)</f>
        <v>1077.77</v>
      </c>
      <c r="O192" t="s">
        <v>531</v>
      </c>
      <c r="P192" t="str">
        <f>_xlfn.IFNA(VLOOKUP(A192,IndirectCost!B:L,11,FALSE),"")</f>
        <v/>
      </c>
      <c r="Q192">
        <f t="shared" si="2"/>
        <v>0</v>
      </c>
    </row>
    <row r="193" spans="1:17">
      <c r="A193" t="s">
        <v>756</v>
      </c>
      <c r="B193" t="s">
        <v>757</v>
      </c>
      <c r="C193" t="str">
        <f>VLOOKUP(A193,Districts!A:I,9,FALSE)</f>
        <v>Crown King School District 41</v>
      </c>
      <c r="D193" t="str">
        <f>VLOOKUP(A193,Districts!A:P,16,FALSE)</f>
        <v>LC9UDQBT7TP4</v>
      </c>
      <c r="F193" s="1">
        <v>45200</v>
      </c>
      <c r="G193" t="s">
        <v>529</v>
      </c>
      <c r="H193" t="s">
        <v>530</v>
      </c>
      <c r="I193" s="59">
        <f>_xlfn.IFNA(VLOOKUP(A193,'619'!D:F,3,FALSE),0)</f>
        <v>0</v>
      </c>
      <c r="J193" s="59">
        <f>_xlfn.IFNA(VLOOKUP(A193,'619'!D:Q,14,FALSE),0)</f>
        <v>0</v>
      </c>
      <c r="K193" s="59">
        <f>_xlfn.IFNA(VLOOKUP(A193,'619'!D:Q,14,FALSE),0)</f>
        <v>0</v>
      </c>
      <c r="O193" t="s">
        <v>531</v>
      </c>
      <c r="P193" t="str">
        <f>_xlfn.IFNA(VLOOKUP(A193,IndirectCost!B:L,11,FALSE),"")</f>
        <v/>
      </c>
      <c r="Q193">
        <f t="shared" si="2"/>
        <v>0</v>
      </c>
    </row>
    <row r="194" spans="1:17">
      <c r="A194" t="s">
        <v>168</v>
      </c>
      <c r="B194" t="s">
        <v>758</v>
      </c>
      <c r="C194" t="str">
        <f>VLOOKUP(A194,Districts!A:I,9,FALSE)</f>
        <v>Daisy Education Corporation dba Paragon Science Academy</v>
      </c>
      <c r="D194" t="str">
        <f>VLOOKUP(A194,Districts!A:P,16,FALSE)</f>
        <v>N28ZHJ6JFJD9</v>
      </c>
      <c r="F194" s="1">
        <v>45200</v>
      </c>
      <c r="G194" t="s">
        <v>529</v>
      </c>
      <c r="H194" t="s">
        <v>530</v>
      </c>
      <c r="I194" s="59">
        <f>_xlfn.IFNA(VLOOKUP(A194,'619'!D:F,3,FALSE),0)</f>
        <v>1270.52</v>
      </c>
      <c r="J194" s="59">
        <f>_xlfn.IFNA(VLOOKUP(A194,'619'!D:Q,14,FALSE),0)</f>
        <v>1270.52</v>
      </c>
      <c r="K194" s="59">
        <f>_xlfn.IFNA(VLOOKUP(A194,'619'!D:Q,14,FALSE),0)</f>
        <v>1270.52</v>
      </c>
      <c r="O194" t="s">
        <v>531</v>
      </c>
      <c r="P194">
        <f>_xlfn.IFNA(VLOOKUP(A194,IndirectCost!B:L,11,FALSE),"")</f>
        <v>8</v>
      </c>
      <c r="Q194">
        <f t="shared" si="2"/>
        <v>0.08</v>
      </c>
    </row>
    <row r="195" spans="1:17">
      <c r="A195" t="s">
        <v>170</v>
      </c>
      <c r="B195" t="s">
        <v>759</v>
      </c>
      <c r="C195" t="str">
        <f>VLOOKUP(A195,Districts!A:I,9,FALSE)</f>
        <v>Daisy Education Corporation dba Sonoran Science Academy - Phoenix</v>
      </c>
      <c r="D195" t="str">
        <f>VLOOKUP(A195,Districts!A:P,16,FALSE)</f>
        <v>JFQNWMFDHFR3</v>
      </c>
      <c r="F195" s="1">
        <v>45200</v>
      </c>
      <c r="G195" t="s">
        <v>529</v>
      </c>
      <c r="H195" t="s">
        <v>530</v>
      </c>
      <c r="I195" s="59">
        <f>_xlfn.IFNA(VLOOKUP(A195,'619'!D:F,3,FALSE),0)</f>
        <v>501.76</v>
      </c>
      <c r="J195" s="59">
        <f>_xlfn.IFNA(VLOOKUP(A195,'619'!D:Q,14,FALSE),0)</f>
        <v>0</v>
      </c>
      <c r="K195" s="59">
        <f>_xlfn.IFNA(VLOOKUP(A195,'619'!D:Q,14,FALSE),0)</f>
        <v>0</v>
      </c>
      <c r="O195" t="s">
        <v>531</v>
      </c>
      <c r="P195">
        <f>_xlfn.IFNA(VLOOKUP(A195,IndirectCost!B:L,11,FALSE),"")</f>
        <v>8</v>
      </c>
      <c r="Q195">
        <f t="shared" si="2"/>
        <v>0.08</v>
      </c>
    </row>
    <row r="196" spans="1:17">
      <c r="A196" t="s">
        <v>171</v>
      </c>
      <c r="B196" t="s">
        <v>760</v>
      </c>
      <c r="C196" t="str">
        <f>VLOOKUP(A196,Districts!A:I,9,FALSE)</f>
        <v>Daisy Education Corporation dba Sonoran Science Academy - East</v>
      </c>
      <c r="D196" t="str">
        <f>VLOOKUP(A196,Districts!A:P,16,FALSE)</f>
        <v>LBU9LMDBYDL5</v>
      </c>
      <c r="F196" s="1">
        <v>45200</v>
      </c>
      <c r="G196" t="s">
        <v>529</v>
      </c>
      <c r="H196" t="s">
        <v>530</v>
      </c>
      <c r="I196" s="59">
        <f>_xlfn.IFNA(VLOOKUP(A196,'619'!D:F,3,FALSE),0)</f>
        <v>561</v>
      </c>
      <c r="J196" s="59">
        <f>_xlfn.IFNA(VLOOKUP(A196,'619'!D:Q,14,FALSE),0)</f>
        <v>0</v>
      </c>
      <c r="K196" s="59">
        <f>_xlfn.IFNA(VLOOKUP(A196,'619'!D:Q,14,FALSE),0)</f>
        <v>0</v>
      </c>
      <c r="O196" t="s">
        <v>531</v>
      </c>
      <c r="P196">
        <f>_xlfn.IFNA(VLOOKUP(A196,IndirectCost!B:L,11,FALSE),"")</f>
        <v>8</v>
      </c>
      <c r="Q196">
        <f t="shared" ref="Q196:Q259" si="3">IFERROR(P196/100,0)</f>
        <v>0.08</v>
      </c>
    </row>
    <row r="197" spans="1:17">
      <c r="A197" t="s">
        <v>169</v>
      </c>
      <c r="B197" t="s">
        <v>761</v>
      </c>
      <c r="C197" t="str">
        <f>VLOOKUP(A197,Districts!A:I,9,FALSE)</f>
        <v>Daisy Education Corporation dba Sonoran Science Academy Tucson</v>
      </c>
      <c r="D197" t="str">
        <f>VLOOKUP(A197,Districts!A:P,16,FALSE)</f>
        <v>RD9EPMGTG735</v>
      </c>
      <c r="F197" s="1">
        <v>45200</v>
      </c>
      <c r="G197" t="s">
        <v>529</v>
      </c>
      <c r="H197" t="s">
        <v>530</v>
      </c>
      <c r="I197" s="59">
        <f>_xlfn.IFNA(VLOOKUP(A197,'619'!D:F,3,FALSE),0)</f>
        <v>920.88</v>
      </c>
      <c r="J197" s="59">
        <f>_xlfn.IFNA(VLOOKUP(A197,'619'!D:Q,14,FALSE),0)</f>
        <v>1193.8900000000001</v>
      </c>
      <c r="K197" s="59">
        <f>_xlfn.IFNA(VLOOKUP(A197,'619'!D:Q,14,FALSE),0)</f>
        <v>1193.8900000000001</v>
      </c>
      <c r="O197" t="s">
        <v>531</v>
      </c>
      <c r="P197">
        <f>_xlfn.IFNA(VLOOKUP(A197,IndirectCost!B:L,11,FALSE),"")</f>
        <v>8</v>
      </c>
      <c r="Q197">
        <f t="shared" si="3"/>
        <v>0.08</v>
      </c>
    </row>
    <row r="198" spans="1:17">
      <c r="A198" t="s">
        <v>762</v>
      </c>
      <c r="B198" t="s">
        <v>763</v>
      </c>
      <c r="C198" t="str">
        <f>VLOOKUP(A198,Districts!A:I,9,FALSE)</f>
        <v>Daisy Education Corporation dba Sonoran Science Academy - Davis Monthan</v>
      </c>
      <c r="D198" t="str">
        <f>VLOOKUP(A198,Districts!A:P,16,FALSE)</f>
        <v>FPG9SJU2GEK3</v>
      </c>
      <c r="F198" s="1">
        <v>45200</v>
      </c>
      <c r="G198" t="s">
        <v>529</v>
      </c>
      <c r="H198" t="s">
        <v>530</v>
      </c>
      <c r="I198" s="59">
        <f>_xlfn.IFNA(VLOOKUP(A198,'619'!D:F,3,FALSE),0)</f>
        <v>0</v>
      </c>
      <c r="J198" s="59">
        <f>_xlfn.IFNA(VLOOKUP(A198,'619'!D:Q,14,FALSE),0)</f>
        <v>0</v>
      </c>
      <c r="K198" s="59">
        <f>_xlfn.IFNA(VLOOKUP(A198,'619'!D:Q,14,FALSE),0)</f>
        <v>0</v>
      </c>
      <c r="O198" t="s">
        <v>531</v>
      </c>
      <c r="P198">
        <f>_xlfn.IFNA(VLOOKUP(A198,IndirectCost!B:L,11,FALSE),"")</f>
        <v>8</v>
      </c>
      <c r="Q198">
        <f t="shared" si="3"/>
        <v>0.08</v>
      </c>
    </row>
    <row r="199" spans="1:17">
      <c r="A199" t="s">
        <v>172</v>
      </c>
      <c r="B199" t="s">
        <v>764</v>
      </c>
      <c r="C199" t="str">
        <f>VLOOKUP(A199,Districts!A:I,9,FALSE)</f>
        <v>Daisy Education Corporation dba Sonoran Science Academy - Peoria</v>
      </c>
      <c r="D199" t="str">
        <f>VLOOKUP(A199,Districts!A:P,16,FALSE)</f>
        <v>LGNUAW8NXAN3</v>
      </c>
      <c r="F199" s="1">
        <v>45200</v>
      </c>
      <c r="G199" t="s">
        <v>529</v>
      </c>
      <c r="H199" t="s">
        <v>530</v>
      </c>
      <c r="I199" s="59">
        <f>_xlfn.IFNA(VLOOKUP(A199,'619'!D:F,3,FALSE),0)</f>
        <v>332.04</v>
      </c>
      <c r="J199" s="59">
        <f>_xlfn.IFNA(VLOOKUP(A199,'619'!D:Q,14,FALSE),0)</f>
        <v>0</v>
      </c>
      <c r="K199" s="59">
        <f>_xlfn.IFNA(VLOOKUP(A199,'619'!D:Q,14,FALSE),0)</f>
        <v>0</v>
      </c>
      <c r="O199" t="s">
        <v>531</v>
      </c>
      <c r="P199">
        <f>_xlfn.IFNA(VLOOKUP(A199,IndirectCost!B:L,11,FALSE),"")</f>
        <v>8</v>
      </c>
      <c r="Q199">
        <f t="shared" si="3"/>
        <v>0.08</v>
      </c>
    </row>
    <row r="200" spans="1:17">
      <c r="A200" t="s">
        <v>765</v>
      </c>
      <c r="B200" t="s">
        <v>766</v>
      </c>
      <c r="C200" t="str">
        <f>VLOOKUP(A200,Districts!A:I,9,FALSE)</f>
        <v>Deer Valley Academy</v>
      </c>
      <c r="D200" t="str">
        <f>VLOOKUP(A200,Districts!A:P,16,FALSE)</f>
        <v>RCCAADN14VU6</v>
      </c>
      <c r="F200" s="1">
        <v>45200</v>
      </c>
      <c r="G200" t="s">
        <v>529</v>
      </c>
      <c r="H200" t="s">
        <v>530</v>
      </c>
      <c r="I200" s="59">
        <f>_xlfn.IFNA(VLOOKUP(A200,'619'!D:F,3,FALSE),0)</f>
        <v>0</v>
      </c>
      <c r="J200" s="59">
        <f>_xlfn.IFNA(VLOOKUP(A200,'619'!D:Q,14,FALSE),0)</f>
        <v>0</v>
      </c>
      <c r="K200" s="59">
        <f>_xlfn.IFNA(VLOOKUP(A200,'619'!D:Q,14,FALSE),0)</f>
        <v>0</v>
      </c>
      <c r="O200" t="s">
        <v>531</v>
      </c>
      <c r="P200" t="str">
        <f>_xlfn.IFNA(VLOOKUP(A200,IndirectCost!B:L,11,FALSE),"")</f>
        <v/>
      </c>
      <c r="Q200">
        <f t="shared" si="3"/>
        <v>0</v>
      </c>
    </row>
    <row r="201" spans="1:17">
      <c r="A201" t="s">
        <v>173</v>
      </c>
      <c r="B201" t="s">
        <v>767</v>
      </c>
      <c r="C201" t="str">
        <f>VLOOKUP(A201,Districts!A:I,9,FALSE)</f>
        <v>Deer Valley School District #97</v>
      </c>
      <c r="D201" t="str">
        <f>VLOOKUP(A201,Districts!A:P,16,FALSE)</f>
        <v>LQQ4SRYSCKM1</v>
      </c>
      <c r="F201" s="1">
        <v>45200</v>
      </c>
      <c r="G201" t="s">
        <v>529</v>
      </c>
      <c r="H201" t="s">
        <v>530</v>
      </c>
      <c r="I201" s="59">
        <f>_xlfn.IFNA(VLOOKUP(A201,'619'!D:F,3,FALSE),0)</f>
        <v>169935.4</v>
      </c>
      <c r="J201" s="59">
        <f>_xlfn.IFNA(VLOOKUP(A201,'619'!D:Q,14,FALSE),0)</f>
        <v>315787.95</v>
      </c>
      <c r="K201" s="59">
        <f>_xlfn.IFNA(VLOOKUP(A201,'619'!D:Q,14,FALSE),0)</f>
        <v>315787.95</v>
      </c>
      <c r="O201" t="s">
        <v>531</v>
      </c>
      <c r="P201">
        <f>_xlfn.IFNA(VLOOKUP(A201,IndirectCost!B:L,11,FALSE),"")</f>
        <v>4.96</v>
      </c>
      <c r="Q201">
        <f t="shared" si="3"/>
        <v>4.9599999999999998E-2</v>
      </c>
    </row>
    <row r="202" spans="1:17">
      <c r="A202" t="s">
        <v>174</v>
      </c>
      <c r="B202" t="s">
        <v>768</v>
      </c>
      <c r="C202" t="str">
        <f>VLOOKUP(A202,Districts!A:I,9,FALSE)</f>
        <v>Desert Heights Charter Schools</v>
      </c>
      <c r="D202" t="str">
        <f>VLOOKUP(A202,Districts!A:P,16,FALSE)</f>
        <v>H2J9Q4D5B1W4</v>
      </c>
      <c r="F202" s="1">
        <v>45200</v>
      </c>
      <c r="G202" t="s">
        <v>529</v>
      </c>
      <c r="H202" t="s">
        <v>530</v>
      </c>
      <c r="I202" s="59">
        <f>_xlfn.IFNA(VLOOKUP(A202,'619'!D:F,3,FALSE),0)</f>
        <v>880.16</v>
      </c>
      <c r="J202" s="59">
        <f>_xlfn.IFNA(VLOOKUP(A202,'619'!D:Q,14,FALSE),0)</f>
        <v>1657.7</v>
      </c>
      <c r="K202" s="59">
        <f>_xlfn.IFNA(VLOOKUP(A202,'619'!D:Q,14,FALSE),0)</f>
        <v>1657.7</v>
      </c>
      <c r="O202" t="s">
        <v>531</v>
      </c>
      <c r="P202" t="str">
        <f>_xlfn.IFNA(VLOOKUP(A202,IndirectCost!B:L,11,FALSE),"")</f>
        <v/>
      </c>
      <c r="Q202">
        <f t="shared" si="3"/>
        <v>0</v>
      </c>
    </row>
    <row r="203" spans="1:17">
      <c r="A203" t="s">
        <v>769</v>
      </c>
      <c r="B203" t="s">
        <v>770</v>
      </c>
      <c r="C203" t="str">
        <f>VLOOKUP(A203,Districts!A:I,9,FALSE)</f>
        <v>Desert Sage School</v>
      </c>
      <c r="D203">
        <f>VLOOKUP(A203,Districts!A:P,16,FALSE)</f>
        <v>0</v>
      </c>
      <c r="F203" s="1">
        <v>45200</v>
      </c>
      <c r="G203" t="s">
        <v>529</v>
      </c>
      <c r="H203" t="s">
        <v>530</v>
      </c>
      <c r="I203" s="59">
        <f>_xlfn.IFNA(VLOOKUP(A203,'619'!D:F,3,FALSE),0)</f>
        <v>0</v>
      </c>
      <c r="J203" s="59">
        <f>_xlfn.IFNA(VLOOKUP(A203,'619'!D:Q,14,FALSE),0)</f>
        <v>0</v>
      </c>
      <c r="K203" s="59">
        <f>_xlfn.IFNA(VLOOKUP(A203,'619'!D:Q,14,FALSE),0)</f>
        <v>0</v>
      </c>
      <c r="O203" t="s">
        <v>531</v>
      </c>
      <c r="P203" t="str">
        <f>_xlfn.IFNA(VLOOKUP(A203,IndirectCost!B:L,11,FALSE),"")</f>
        <v/>
      </c>
      <c r="Q203">
        <f t="shared" si="3"/>
        <v>0</v>
      </c>
    </row>
    <row r="204" spans="1:17">
      <c r="A204" t="s">
        <v>175</v>
      </c>
      <c r="B204" t="s">
        <v>771</v>
      </c>
      <c r="C204" t="str">
        <f>VLOOKUP(A204,Districts!A:I,9,FALSE)</f>
        <v>Desert Sky Community School</v>
      </c>
      <c r="D204" t="str">
        <f>VLOOKUP(A204,Districts!A:P,16,FALSE)</f>
        <v>EB6XLJDQ1633</v>
      </c>
      <c r="F204" s="1">
        <v>45200</v>
      </c>
      <c r="G204" t="s">
        <v>529</v>
      </c>
      <c r="H204" t="s">
        <v>530</v>
      </c>
      <c r="I204" s="59">
        <f>_xlfn.IFNA(VLOOKUP(A204,'619'!D:F,3,FALSE),0)</f>
        <v>365.8</v>
      </c>
      <c r="J204" s="59">
        <f>_xlfn.IFNA(VLOOKUP(A204,'619'!D:Q,14,FALSE),0)</f>
        <v>365.8</v>
      </c>
      <c r="K204" s="59">
        <f>_xlfn.IFNA(VLOOKUP(A204,'619'!D:Q,14,FALSE),0)</f>
        <v>365.8</v>
      </c>
      <c r="O204" t="s">
        <v>531</v>
      </c>
      <c r="P204" t="str">
        <f>_xlfn.IFNA(VLOOKUP(A204,IndirectCost!B:L,11,FALSE),"")</f>
        <v/>
      </c>
      <c r="Q204">
        <f t="shared" si="3"/>
        <v>0</v>
      </c>
    </row>
    <row r="205" spans="1:17">
      <c r="A205" t="s">
        <v>176</v>
      </c>
      <c r="B205" t="s">
        <v>772</v>
      </c>
      <c r="C205" t="str">
        <f>VLOOKUP(A205,Districts!A:I,9,FALSE)</f>
        <v>Desert Star Academy Inc</v>
      </c>
      <c r="D205" t="str">
        <f>VLOOKUP(A205,Districts!A:P,16,FALSE)</f>
        <v>X5R6Q969CLY7</v>
      </c>
      <c r="F205" s="1">
        <v>45200</v>
      </c>
      <c r="G205" t="s">
        <v>529</v>
      </c>
      <c r="H205" t="s">
        <v>530</v>
      </c>
      <c r="I205" s="59">
        <f>_xlfn.IFNA(VLOOKUP(A205,'619'!D:F,3,FALSE),0)</f>
        <v>911.86</v>
      </c>
      <c r="J205" s="59">
        <f>_xlfn.IFNA(VLOOKUP(A205,'619'!D:Q,14,FALSE),0)</f>
        <v>911.86</v>
      </c>
      <c r="K205" s="59">
        <f>_xlfn.IFNA(VLOOKUP(A205,'619'!D:Q,14,FALSE),0)</f>
        <v>911.86</v>
      </c>
      <c r="O205" t="s">
        <v>531</v>
      </c>
      <c r="P205" t="str">
        <f>_xlfn.IFNA(VLOOKUP(A205,IndirectCost!B:L,11,FALSE),"")</f>
        <v/>
      </c>
      <c r="Q205">
        <f t="shared" si="3"/>
        <v>0</v>
      </c>
    </row>
    <row r="206" spans="1:17">
      <c r="A206" t="s">
        <v>177</v>
      </c>
      <c r="B206" t="s">
        <v>773</v>
      </c>
      <c r="C206" t="str">
        <f>VLOOKUP(A206,Districts!A:I,9,FALSE)</f>
        <v>Desert Star Community School</v>
      </c>
      <c r="D206" t="str">
        <f>VLOOKUP(A206,Districts!A:P,16,FALSE)</f>
        <v>DHM2CXS1DLZ5</v>
      </c>
      <c r="F206" s="1">
        <v>45200</v>
      </c>
      <c r="G206" t="s">
        <v>529</v>
      </c>
      <c r="H206" t="s">
        <v>530</v>
      </c>
      <c r="I206" s="59">
        <f>_xlfn.IFNA(VLOOKUP(A206,'619'!D:F,3,FALSE),0)</f>
        <v>535.62</v>
      </c>
      <c r="J206" s="59">
        <f>_xlfn.IFNA(VLOOKUP(A206,'619'!D:Q,14,FALSE),0)</f>
        <v>1223.21</v>
      </c>
      <c r="K206" s="59">
        <f>_xlfn.IFNA(VLOOKUP(A206,'619'!D:Q,14,FALSE),0)</f>
        <v>1223.21</v>
      </c>
      <c r="O206" t="s">
        <v>531</v>
      </c>
      <c r="P206" t="str">
        <f>_xlfn.IFNA(VLOOKUP(A206,IndirectCost!B:L,11,FALSE),"")</f>
        <v/>
      </c>
      <c r="Q206">
        <f t="shared" si="3"/>
        <v>0</v>
      </c>
    </row>
    <row r="207" spans="1:17">
      <c r="A207" t="s">
        <v>178</v>
      </c>
      <c r="B207" t="s">
        <v>774</v>
      </c>
      <c r="C207" t="str">
        <f>VLOOKUP(A207,Districts!A:I,9,FALSE)</f>
        <v>Destiny School</v>
      </c>
      <c r="D207" t="str">
        <f>VLOOKUP(A207,Districts!A:P,16,FALSE)</f>
        <v>EK8EHNLR8PB5</v>
      </c>
      <c r="F207" s="1">
        <v>45200</v>
      </c>
      <c r="G207" t="s">
        <v>529</v>
      </c>
      <c r="H207" t="s">
        <v>530</v>
      </c>
      <c r="I207" s="59">
        <f>_xlfn.IFNA(VLOOKUP(A207,'619'!D:F,3,FALSE),0)</f>
        <v>1293.46</v>
      </c>
      <c r="J207" s="59">
        <f>_xlfn.IFNA(VLOOKUP(A207,'619'!D:Q,14,FALSE),0)</f>
        <v>1412.24</v>
      </c>
      <c r="K207" s="59">
        <f>_xlfn.IFNA(VLOOKUP(A207,'619'!D:Q,14,FALSE),0)</f>
        <v>1412.24</v>
      </c>
      <c r="O207" t="s">
        <v>531</v>
      </c>
      <c r="P207" t="str">
        <f>_xlfn.IFNA(VLOOKUP(A207,IndirectCost!B:L,11,FALSE),"")</f>
        <v/>
      </c>
      <c r="Q207">
        <f t="shared" si="3"/>
        <v>0</v>
      </c>
    </row>
    <row r="208" spans="1:17">
      <c r="A208" t="s">
        <v>179</v>
      </c>
      <c r="B208" t="s">
        <v>775</v>
      </c>
      <c r="C208" t="str">
        <f>VLOOKUP(A208,Districts!A:I,9,FALSE)</f>
        <v>Discovery Plus</v>
      </c>
      <c r="D208" t="str">
        <f>VLOOKUP(A208,Districts!A:P,16,FALSE)</f>
        <v>SLZ4NWCND413</v>
      </c>
      <c r="F208" s="1">
        <v>45200</v>
      </c>
      <c r="G208" t="s">
        <v>529</v>
      </c>
      <c r="H208" t="s">
        <v>530</v>
      </c>
      <c r="I208" s="59">
        <f>_xlfn.IFNA(VLOOKUP(A208,'619'!D:F,3,FALSE),0)</f>
        <v>458.09</v>
      </c>
      <c r="J208" s="59">
        <f>_xlfn.IFNA(VLOOKUP(A208,'619'!D:Q,14,FALSE),0)</f>
        <v>458.09</v>
      </c>
      <c r="K208" s="59">
        <f>_xlfn.IFNA(VLOOKUP(A208,'619'!D:Q,14,FALSE),0)</f>
        <v>458.09</v>
      </c>
      <c r="O208" t="s">
        <v>531</v>
      </c>
      <c r="P208" t="str">
        <f>_xlfn.IFNA(VLOOKUP(A208,IndirectCost!B:L,11,FALSE),"")</f>
        <v/>
      </c>
      <c r="Q208">
        <f t="shared" si="3"/>
        <v>0</v>
      </c>
    </row>
    <row r="209" spans="1:17">
      <c r="A209" t="s">
        <v>180</v>
      </c>
      <c r="B209" t="s">
        <v>776</v>
      </c>
      <c r="C209" t="str">
        <f>VLOOKUP(A209,Districts!A:I,9,FALSE)</f>
        <v>Hannah Hurtado</v>
      </c>
      <c r="D209" t="str">
        <f>VLOOKUP(A209,Districts!A:P,16,FALSE)</f>
        <v>NRZGBH7BTPH3</v>
      </c>
      <c r="F209" s="1">
        <v>45200</v>
      </c>
      <c r="G209" t="s">
        <v>529</v>
      </c>
      <c r="H209" t="s">
        <v>530</v>
      </c>
      <c r="I209" s="59">
        <f>_xlfn.IFNA(VLOOKUP(A209,'619'!D:F,3,FALSE),0)</f>
        <v>129.86000000000001</v>
      </c>
      <c r="J209" s="59">
        <f>_xlfn.IFNA(VLOOKUP(A209,'619'!D:Q,14,FALSE),0)</f>
        <v>129.86000000000001</v>
      </c>
      <c r="K209" s="59">
        <f>_xlfn.IFNA(VLOOKUP(A209,'619'!D:Q,14,FALSE),0)</f>
        <v>129.86000000000001</v>
      </c>
      <c r="O209" t="s">
        <v>531</v>
      </c>
      <c r="P209" t="str">
        <f>_xlfn.IFNA(VLOOKUP(A209,IndirectCost!B:L,11,FALSE),"")</f>
        <v/>
      </c>
      <c r="Q209">
        <f t="shared" si="3"/>
        <v>0</v>
      </c>
    </row>
    <row r="210" spans="1:17">
      <c r="A210" t="s">
        <v>181</v>
      </c>
      <c r="B210" t="s">
        <v>777</v>
      </c>
      <c r="C210" t="str">
        <f>VLOOKUP(A210,Districts!A:I,9,FALSE)</f>
        <v>Douglas Unified School District #27</v>
      </c>
      <c r="D210" t="str">
        <f>VLOOKUP(A210,Districts!A:P,16,FALSE)</f>
        <v>K8V8MMF3DAX5</v>
      </c>
      <c r="F210" s="1">
        <v>45200</v>
      </c>
      <c r="G210" t="s">
        <v>529</v>
      </c>
      <c r="H210" t="s">
        <v>530</v>
      </c>
      <c r="I210" s="59">
        <f>_xlfn.IFNA(VLOOKUP(A210,'619'!D:F,3,FALSE),0)</f>
        <v>8766.7800000000007</v>
      </c>
      <c r="J210" s="59">
        <f>_xlfn.IFNA(VLOOKUP(A210,'619'!D:Q,14,FALSE),0)</f>
        <v>9060.51</v>
      </c>
      <c r="K210" s="59">
        <f>_xlfn.IFNA(VLOOKUP(A210,'619'!D:Q,14,FALSE),0)</f>
        <v>9060.51</v>
      </c>
      <c r="O210" t="s">
        <v>531</v>
      </c>
      <c r="P210">
        <f>_xlfn.IFNA(VLOOKUP(A210,IndirectCost!B:L,11,FALSE),"")</f>
        <v>7.16</v>
      </c>
      <c r="Q210">
        <f t="shared" si="3"/>
        <v>7.1599999999999997E-2</v>
      </c>
    </row>
    <row r="211" spans="1:17">
      <c r="A211" t="s">
        <v>182</v>
      </c>
      <c r="B211" t="s">
        <v>778</v>
      </c>
      <c r="C211" t="str">
        <f>VLOOKUP(A211,Districts!A:I,9,FALSE)</f>
        <v>DUNCAN USD</v>
      </c>
      <c r="D211" t="str">
        <f>VLOOKUP(A211,Districts!A:P,16,FALSE)</f>
        <v>X4SJCW5M3ZN3</v>
      </c>
      <c r="F211" s="1">
        <v>45200</v>
      </c>
      <c r="G211" t="s">
        <v>529</v>
      </c>
      <c r="H211" t="s">
        <v>530</v>
      </c>
      <c r="I211" s="59">
        <f>_xlfn.IFNA(VLOOKUP(A211,'619'!D:F,3,FALSE),0)</f>
        <v>1337.68</v>
      </c>
      <c r="J211" s="59">
        <f>_xlfn.IFNA(VLOOKUP(A211,'619'!D:Q,14,FALSE),0)</f>
        <v>1541.91</v>
      </c>
      <c r="K211" s="59">
        <f>_xlfn.IFNA(VLOOKUP(A211,'619'!D:Q,14,FALSE),0)</f>
        <v>1541.91</v>
      </c>
      <c r="O211" t="s">
        <v>531</v>
      </c>
      <c r="P211" t="str">
        <f>_xlfn.IFNA(VLOOKUP(A211,IndirectCost!B:L,11,FALSE),"")</f>
        <v/>
      </c>
      <c r="Q211">
        <f t="shared" si="3"/>
        <v>0</v>
      </c>
    </row>
    <row r="212" spans="1:17">
      <c r="A212" t="s">
        <v>183</v>
      </c>
      <c r="B212" t="s">
        <v>779</v>
      </c>
      <c r="C212" t="str">
        <f>VLOOKUP(A212,Districts!A:I,9,FALSE)</f>
        <v>Dysart Unified School District No. 89</v>
      </c>
      <c r="D212" t="str">
        <f>VLOOKUP(A212,Districts!A:P,16,FALSE)</f>
        <v>ER15CJPRV3X5</v>
      </c>
      <c r="F212" s="1">
        <v>45200</v>
      </c>
      <c r="G212" t="s">
        <v>529</v>
      </c>
      <c r="H212" t="s">
        <v>530</v>
      </c>
      <c r="I212" s="59">
        <f>_xlfn.IFNA(VLOOKUP(A212,'619'!D:F,3,FALSE),0)</f>
        <v>54691.03</v>
      </c>
      <c r="J212" s="59">
        <f>_xlfn.IFNA(VLOOKUP(A212,'619'!D:Q,14,FALSE),0)</f>
        <v>80046.12</v>
      </c>
      <c r="K212" s="59">
        <f>_xlfn.IFNA(VLOOKUP(A212,'619'!D:Q,14,FALSE),0)</f>
        <v>80046.12</v>
      </c>
      <c r="O212" t="s">
        <v>531</v>
      </c>
      <c r="P212">
        <f>_xlfn.IFNA(VLOOKUP(A212,IndirectCost!B:L,11,FALSE),"")</f>
        <v>2.1800000000000002</v>
      </c>
      <c r="Q212">
        <f t="shared" si="3"/>
        <v>2.18E-2</v>
      </c>
    </row>
    <row r="213" spans="1:17">
      <c r="A213" t="s">
        <v>184</v>
      </c>
      <c r="B213" t="s">
        <v>780</v>
      </c>
      <c r="C213" t="str">
        <f>VLOOKUP(A213,Districts!A:I,9,FALSE)</f>
        <v>EAGLE College Prep Harmony, LLC</v>
      </c>
      <c r="D213" t="str">
        <f>VLOOKUP(A213,Districts!A:P,16,FALSE)</f>
        <v>XLKJCV9RJHD8</v>
      </c>
      <c r="F213" s="1">
        <v>45200</v>
      </c>
      <c r="G213" t="s">
        <v>529</v>
      </c>
      <c r="H213" t="s">
        <v>530</v>
      </c>
      <c r="I213" s="59">
        <f>_xlfn.IFNA(VLOOKUP(A213,'619'!D:F,3,FALSE),0)</f>
        <v>270.94</v>
      </c>
      <c r="J213" s="59">
        <f>_xlfn.IFNA(VLOOKUP(A213,'619'!D:Q,14,FALSE),0)</f>
        <v>0</v>
      </c>
      <c r="K213" s="59">
        <f>_xlfn.IFNA(VLOOKUP(A213,'619'!D:Q,14,FALSE),0)</f>
        <v>0</v>
      </c>
      <c r="O213" t="s">
        <v>531</v>
      </c>
      <c r="P213" t="str">
        <f>_xlfn.IFNA(VLOOKUP(A213,IndirectCost!B:L,11,FALSE),"")</f>
        <v/>
      </c>
      <c r="Q213">
        <f t="shared" si="3"/>
        <v>0</v>
      </c>
    </row>
    <row r="214" spans="1:17">
      <c r="A214" t="s">
        <v>185</v>
      </c>
      <c r="B214" t="s">
        <v>781</v>
      </c>
      <c r="C214" t="str">
        <f>VLOOKUP(A214,Districts!A:I,9,FALSE)</f>
        <v>EAGLE College Prep Maryvale, LLC</v>
      </c>
      <c r="D214" t="str">
        <f>VLOOKUP(A214,Districts!A:P,16,FALSE)</f>
        <v>QXJ2NLK5VU43</v>
      </c>
      <c r="F214" s="1">
        <v>45200</v>
      </c>
      <c r="G214" t="s">
        <v>529</v>
      </c>
      <c r="H214" t="s">
        <v>530</v>
      </c>
      <c r="I214" s="59">
        <f>_xlfn.IFNA(VLOOKUP(A214,'619'!D:F,3,FALSE),0)</f>
        <v>651.45000000000005</v>
      </c>
      <c r="J214" s="59">
        <f>_xlfn.IFNA(VLOOKUP(A214,'619'!D:Q,14,FALSE),0)</f>
        <v>651.45000000000005</v>
      </c>
      <c r="K214" s="59">
        <f>_xlfn.IFNA(VLOOKUP(A214,'619'!D:Q,14,FALSE),0)</f>
        <v>651.45000000000005</v>
      </c>
      <c r="O214" t="s">
        <v>531</v>
      </c>
      <c r="P214">
        <f>_xlfn.IFNA(VLOOKUP(A214,IndirectCost!B:L,11,FALSE),"")</f>
        <v>8</v>
      </c>
      <c r="Q214">
        <f t="shared" si="3"/>
        <v>0.08</v>
      </c>
    </row>
    <row r="215" spans="1:17">
      <c r="A215" t="s">
        <v>186</v>
      </c>
      <c r="B215" t="s">
        <v>782</v>
      </c>
      <c r="C215" t="str">
        <f>VLOOKUP(A215,Districts!A:I,9,FALSE)</f>
        <v>EAGLE College Prep Mesa, LLC</v>
      </c>
      <c r="D215" t="str">
        <f>VLOOKUP(A215,Districts!A:P,16,FALSE)</f>
        <v>GQ6HR79DFL63</v>
      </c>
      <c r="F215" s="1">
        <v>45200</v>
      </c>
      <c r="G215" t="s">
        <v>529</v>
      </c>
      <c r="H215" t="s">
        <v>530</v>
      </c>
      <c r="I215" s="59">
        <f>_xlfn.IFNA(VLOOKUP(A215,'619'!D:F,3,FALSE),0)</f>
        <v>567.49</v>
      </c>
      <c r="J215" s="59">
        <f>_xlfn.IFNA(VLOOKUP(A215,'619'!D:Q,14,FALSE),0)</f>
        <v>567.49</v>
      </c>
      <c r="K215" s="59">
        <f>_xlfn.IFNA(VLOOKUP(A215,'619'!D:Q,14,FALSE),0)</f>
        <v>567.49</v>
      </c>
      <c r="O215" t="s">
        <v>531</v>
      </c>
      <c r="P215">
        <f>_xlfn.IFNA(VLOOKUP(A215,IndirectCost!B:L,11,FALSE),"")</f>
        <v>8</v>
      </c>
      <c r="Q215">
        <f t="shared" si="3"/>
        <v>0.08</v>
      </c>
    </row>
    <row r="216" spans="1:17">
      <c r="A216" t="s">
        <v>187</v>
      </c>
      <c r="B216" t="s">
        <v>783</v>
      </c>
      <c r="C216" t="str">
        <f>VLOOKUP(A216,Districts!A:I,9,FALSE)</f>
        <v>EAGLE South Mountain Charter, Inc.</v>
      </c>
      <c r="D216" t="str">
        <f>VLOOKUP(A216,Districts!A:P,16,FALSE)</f>
        <v>J6N9Y4JTRLC7</v>
      </c>
      <c r="F216" s="1">
        <v>45200</v>
      </c>
      <c r="G216" t="s">
        <v>529</v>
      </c>
      <c r="H216" t="s">
        <v>530</v>
      </c>
      <c r="I216" s="59">
        <f>_xlfn.IFNA(VLOOKUP(A216,'619'!D:F,3,FALSE),0)</f>
        <v>1465.98</v>
      </c>
      <c r="J216" s="59">
        <f>_xlfn.IFNA(VLOOKUP(A216,'619'!D:Q,14,FALSE),0)</f>
        <v>1465.98</v>
      </c>
      <c r="K216" s="59">
        <f>_xlfn.IFNA(VLOOKUP(A216,'619'!D:Q,14,FALSE),0)</f>
        <v>1465.98</v>
      </c>
      <c r="O216" t="s">
        <v>531</v>
      </c>
      <c r="P216">
        <f>_xlfn.IFNA(VLOOKUP(A216,IndirectCost!B:L,11,FALSE),"")</f>
        <v>8</v>
      </c>
      <c r="Q216">
        <f t="shared" si="3"/>
        <v>0.08</v>
      </c>
    </row>
    <row r="217" spans="1:17">
      <c r="A217" t="s">
        <v>188</v>
      </c>
      <c r="B217" t="s">
        <v>784</v>
      </c>
      <c r="C217" t="str">
        <f>VLOOKUP(A217,Districts!A:I,9,FALSE)</f>
        <v>Imagine Schools Inc</v>
      </c>
      <c r="D217" t="str">
        <f>VLOOKUP(A217,Districts!A:P,16,FALSE)</f>
        <v>NHZRQS1CNHS8</v>
      </c>
      <c r="F217" s="1">
        <v>45200</v>
      </c>
      <c r="G217" t="s">
        <v>529</v>
      </c>
      <c r="H217" t="s">
        <v>530</v>
      </c>
      <c r="I217" s="59">
        <f>_xlfn.IFNA(VLOOKUP(A217,'619'!D:F,3,FALSE),0)</f>
        <v>2899.43</v>
      </c>
      <c r="J217" s="59">
        <f>_xlfn.IFNA(VLOOKUP(A217,'619'!D:Q,14,FALSE),0)</f>
        <v>3312.73</v>
      </c>
      <c r="K217" s="59">
        <f>_xlfn.IFNA(VLOOKUP(A217,'619'!D:Q,14,FALSE),0)</f>
        <v>3312.73</v>
      </c>
      <c r="O217" t="s">
        <v>531</v>
      </c>
      <c r="P217" t="str">
        <f>_xlfn.IFNA(VLOOKUP(A217,IndirectCost!B:L,11,FALSE),"")</f>
        <v/>
      </c>
      <c r="Q217">
        <f t="shared" si="3"/>
        <v>0</v>
      </c>
    </row>
    <row r="218" spans="1:17">
      <c r="A218" t="s">
        <v>189</v>
      </c>
      <c r="B218" t="s">
        <v>785</v>
      </c>
      <c r="C218" t="str">
        <f>VLOOKUP(A218,Districts!A:I,9,FALSE)</f>
        <v>Academy Adventures Midtown DBA Ed Ahead</v>
      </c>
      <c r="D218" t="str">
        <f>VLOOKUP(A218,Districts!A:P,16,FALSE)</f>
        <v>RTSSHMKLUK26</v>
      </c>
      <c r="F218" s="1">
        <v>45200</v>
      </c>
      <c r="G218" t="s">
        <v>529</v>
      </c>
      <c r="H218" t="s">
        <v>530</v>
      </c>
      <c r="I218" s="59">
        <f>_xlfn.IFNA(VLOOKUP(A218,'619'!D:F,3,FALSE),0)</f>
        <v>341.41</v>
      </c>
      <c r="J218" s="59">
        <f>_xlfn.IFNA(VLOOKUP(A218,'619'!D:Q,14,FALSE),0)</f>
        <v>0</v>
      </c>
      <c r="K218" s="59">
        <f>_xlfn.IFNA(VLOOKUP(A218,'619'!D:Q,14,FALSE),0)</f>
        <v>0</v>
      </c>
      <c r="O218" t="s">
        <v>531</v>
      </c>
      <c r="P218" t="str">
        <f>_xlfn.IFNA(VLOOKUP(A218,IndirectCost!B:L,11,FALSE),"")</f>
        <v/>
      </c>
      <c r="Q218">
        <f t="shared" si="3"/>
        <v>0</v>
      </c>
    </row>
    <row r="219" spans="1:17">
      <c r="A219" t="s">
        <v>786</v>
      </c>
      <c r="B219" t="s">
        <v>787</v>
      </c>
      <c r="C219" t="str">
        <f>VLOOKUP(A219,Districts!A:I,9,FALSE)</f>
        <v>EDGE SCHOOL INC, THE</v>
      </c>
      <c r="D219" t="str">
        <f>VLOOKUP(A219,Districts!A:P,16,FALSE)</f>
        <v>JT47LX5BN2T6</v>
      </c>
      <c r="F219" s="1">
        <v>45200</v>
      </c>
      <c r="G219" t="s">
        <v>529</v>
      </c>
      <c r="H219" t="s">
        <v>530</v>
      </c>
      <c r="I219" s="59">
        <f>_xlfn.IFNA(VLOOKUP(A219,'619'!D:F,3,FALSE),0)</f>
        <v>0</v>
      </c>
      <c r="J219" s="59">
        <f>_xlfn.IFNA(VLOOKUP(A219,'619'!D:Q,14,FALSE),0)</f>
        <v>0</v>
      </c>
      <c r="K219" s="59">
        <f>_xlfn.IFNA(VLOOKUP(A219,'619'!D:Q,14,FALSE),0)</f>
        <v>0</v>
      </c>
      <c r="O219" t="s">
        <v>531</v>
      </c>
      <c r="P219">
        <f>_xlfn.IFNA(VLOOKUP(A219,IndirectCost!B:L,11,FALSE),"")</f>
        <v>8</v>
      </c>
      <c r="Q219">
        <f t="shared" si="3"/>
        <v>0.08</v>
      </c>
    </row>
    <row r="220" spans="1:17">
      <c r="A220" t="s">
        <v>190</v>
      </c>
      <c r="B220" t="s">
        <v>788</v>
      </c>
      <c r="C220" t="str">
        <f>VLOOKUP(A220,Districts!A:I,9,FALSE)</f>
        <v>Edison Project</v>
      </c>
      <c r="D220" t="str">
        <f>VLOOKUP(A220,Districts!A:P,16,FALSE)</f>
        <v>VAH8MUDN1D43</v>
      </c>
      <c r="F220" s="1">
        <v>45200</v>
      </c>
      <c r="G220" t="s">
        <v>529</v>
      </c>
      <c r="H220" t="s">
        <v>530</v>
      </c>
      <c r="I220" s="59">
        <f>_xlfn.IFNA(VLOOKUP(A220,'619'!D:F,3,FALSE),0)</f>
        <v>639.21</v>
      </c>
      <c r="J220" s="59">
        <f>_xlfn.IFNA(VLOOKUP(A220,'619'!D:Q,14,FALSE),0)</f>
        <v>0</v>
      </c>
      <c r="K220" s="59">
        <f>_xlfn.IFNA(VLOOKUP(A220,'619'!D:Q,14,FALSE),0)</f>
        <v>0</v>
      </c>
      <c r="O220" t="s">
        <v>531</v>
      </c>
      <c r="P220" t="str">
        <f>_xlfn.IFNA(VLOOKUP(A220,IndirectCost!B:L,11,FALSE),"")</f>
        <v/>
      </c>
      <c r="Q220">
        <f t="shared" si="3"/>
        <v>0</v>
      </c>
    </row>
    <row r="221" spans="1:17">
      <c r="A221" t="s">
        <v>191</v>
      </c>
      <c r="B221" t="s">
        <v>789</v>
      </c>
      <c r="C221" t="str">
        <f>VLOOKUP(A221,Districts!A:I,9,FALSE)</f>
        <v>Edkey, Inc. American Heritage Academy</v>
      </c>
      <c r="D221" t="str">
        <f>VLOOKUP(A221,Districts!A:P,16,FALSE)</f>
        <v>W9FNP2MEYJL5</v>
      </c>
      <c r="F221" s="1">
        <v>45200</v>
      </c>
      <c r="G221" t="s">
        <v>529</v>
      </c>
      <c r="H221" t="s">
        <v>530</v>
      </c>
      <c r="I221" s="59">
        <f>_xlfn.IFNA(VLOOKUP(A221,'619'!D:F,3,FALSE),0)</f>
        <v>912.51</v>
      </c>
      <c r="J221" s="59">
        <f>_xlfn.IFNA(VLOOKUP(A221,'619'!D:Q,14,FALSE),0)</f>
        <v>1753.84</v>
      </c>
      <c r="K221" s="59">
        <f>_xlfn.IFNA(VLOOKUP(A221,'619'!D:Q,14,FALSE),0)</f>
        <v>1753.84</v>
      </c>
      <c r="O221" t="s">
        <v>531</v>
      </c>
      <c r="P221" t="str">
        <f>_xlfn.IFNA(VLOOKUP(A221,IndirectCost!B:L,11,FALSE),"")</f>
        <v/>
      </c>
      <c r="Q221">
        <f t="shared" si="3"/>
        <v>0</v>
      </c>
    </row>
    <row r="222" spans="1:17">
      <c r="A222" t="s">
        <v>790</v>
      </c>
      <c r="B222" t="s">
        <v>791</v>
      </c>
      <c r="C222" t="str">
        <f>VLOOKUP(A222,Districts!A:I,9,FALSE)</f>
        <v>Edkey, Inc. Arizona Conservatory for Arts and Academics Elementary School</v>
      </c>
      <c r="D222" t="str">
        <f>VLOOKUP(A222,Districts!A:P,16,FALSE)</f>
        <v>ZJWTERMDB123</v>
      </c>
      <c r="F222" s="1">
        <v>45200</v>
      </c>
      <c r="G222" t="s">
        <v>529</v>
      </c>
      <c r="H222" t="s">
        <v>530</v>
      </c>
      <c r="I222" s="59">
        <f>_xlfn.IFNA(VLOOKUP(A222,'619'!D:F,3,FALSE),0)</f>
        <v>0</v>
      </c>
      <c r="J222" s="59">
        <f>_xlfn.IFNA(VLOOKUP(A222,'619'!D:Q,14,FALSE),0)</f>
        <v>0</v>
      </c>
      <c r="K222" s="59">
        <f>_xlfn.IFNA(VLOOKUP(A222,'619'!D:Q,14,FALSE),0)</f>
        <v>0</v>
      </c>
      <c r="O222" t="s">
        <v>531</v>
      </c>
      <c r="P222" t="str">
        <f>_xlfn.IFNA(VLOOKUP(A222,IndirectCost!B:L,11,FALSE),"")</f>
        <v/>
      </c>
      <c r="Q222">
        <f t="shared" si="3"/>
        <v>0</v>
      </c>
    </row>
    <row r="223" spans="1:17">
      <c r="A223" t="s">
        <v>192</v>
      </c>
      <c r="B223" t="s">
        <v>792</v>
      </c>
      <c r="C223" t="str">
        <f>VLOOKUP(A223,Districts!A:I,9,FALSE)</f>
        <v>Edkey, Inc.</v>
      </c>
      <c r="D223" t="str">
        <f>VLOOKUP(A223,Districts!A:P,16,FALSE)</f>
        <v>K2Y2LJ5K7GQ8</v>
      </c>
      <c r="F223" s="1">
        <v>45200</v>
      </c>
      <c r="G223" t="s">
        <v>529</v>
      </c>
      <c r="H223" t="s">
        <v>530</v>
      </c>
      <c r="I223" s="59">
        <f>_xlfn.IFNA(VLOOKUP(A223,'619'!D:F,3,FALSE),0)</f>
        <v>1012.23</v>
      </c>
      <c r="J223" s="59">
        <f>_xlfn.IFNA(VLOOKUP(A223,'619'!D:Q,14,FALSE),0)</f>
        <v>1012.23</v>
      </c>
      <c r="K223" s="59">
        <f>_xlfn.IFNA(VLOOKUP(A223,'619'!D:Q,14,FALSE),0)</f>
        <v>1012.23</v>
      </c>
      <c r="O223" t="s">
        <v>531</v>
      </c>
      <c r="P223" t="str">
        <f>_xlfn.IFNA(VLOOKUP(A223,IndirectCost!B:L,11,FALSE),"")</f>
        <v/>
      </c>
      <c r="Q223">
        <f t="shared" si="3"/>
        <v>0</v>
      </c>
    </row>
    <row r="224" spans="1:17">
      <c r="A224" t="s">
        <v>193</v>
      </c>
      <c r="B224" t="s">
        <v>793</v>
      </c>
      <c r="C224" t="str">
        <f>VLOOKUP(A224,Districts!A:I,9,FALSE)</f>
        <v>Edkey, Inc.</v>
      </c>
      <c r="D224" t="str">
        <f>VLOOKUP(A224,Districts!A:P,16,FALSE)</f>
        <v>J299YYJK6425</v>
      </c>
      <c r="F224" s="1">
        <v>45200</v>
      </c>
      <c r="G224" t="s">
        <v>529</v>
      </c>
      <c r="H224" t="s">
        <v>530</v>
      </c>
      <c r="I224" s="59">
        <f>_xlfn.IFNA(VLOOKUP(A224,'619'!D:F,3,FALSE),0)</f>
        <v>451.69</v>
      </c>
      <c r="J224" s="59">
        <f>_xlfn.IFNA(VLOOKUP(A224,'619'!D:Q,14,FALSE),0)</f>
        <v>970.54</v>
      </c>
      <c r="K224" s="59">
        <f>_xlfn.IFNA(VLOOKUP(A224,'619'!D:Q,14,FALSE),0)</f>
        <v>970.54</v>
      </c>
      <c r="O224" t="s">
        <v>531</v>
      </c>
      <c r="P224" t="str">
        <f>_xlfn.IFNA(VLOOKUP(A224,IndirectCost!B:L,11,FALSE),"")</f>
        <v/>
      </c>
      <c r="Q224">
        <f t="shared" si="3"/>
        <v>0</v>
      </c>
    </row>
    <row r="225" spans="1:17">
      <c r="A225" t="s">
        <v>194</v>
      </c>
      <c r="B225" t="s">
        <v>794</v>
      </c>
      <c r="C225" t="str">
        <f>VLOOKUP(A225,Districts!A:I,9,FALSE)</f>
        <v>Edkey, Inc.</v>
      </c>
      <c r="D225" t="str">
        <f>VLOOKUP(A225,Districts!A:P,16,FALSE)</f>
        <v>HR3LM14Z6EN4</v>
      </c>
      <c r="F225" s="1">
        <v>45200</v>
      </c>
      <c r="G225" t="s">
        <v>529</v>
      </c>
      <c r="H225" t="s">
        <v>530</v>
      </c>
      <c r="I225" s="59">
        <f>_xlfn.IFNA(VLOOKUP(A225,'619'!D:F,3,FALSE),0)</f>
        <v>1219.1600000000001</v>
      </c>
      <c r="J225" s="59">
        <f>_xlfn.IFNA(VLOOKUP(A225,'619'!D:Q,14,FALSE),0)</f>
        <v>1219.1600000000001</v>
      </c>
      <c r="K225" s="59">
        <f>_xlfn.IFNA(VLOOKUP(A225,'619'!D:Q,14,FALSE),0)</f>
        <v>1219.1600000000001</v>
      </c>
      <c r="O225" t="s">
        <v>531</v>
      </c>
      <c r="P225" t="str">
        <f>_xlfn.IFNA(VLOOKUP(A225,IndirectCost!B:L,11,FALSE),"")</f>
        <v/>
      </c>
      <c r="Q225">
        <f t="shared" si="3"/>
        <v>0</v>
      </c>
    </row>
    <row r="226" spans="1:17">
      <c r="A226" t="s">
        <v>195</v>
      </c>
      <c r="B226" t="s">
        <v>795</v>
      </c>
      <c r="C226" t="str">
        <f>VLOOKUP(A226,Districts!A:I,9,FALSE)</f>
        <v>Edkey, Inc.</v>
      </c>
      <c r="D226" t="str">
        <f>VLOOKUP(A226,Districts!A:P,16,FALSE)</f>
        <v>VN5GRJGAAXJ4</v>
      </c>
      <c r="F226" s="1">
        <v>45200</v>
      </c>
      <c r="G226" t="s">
        <v>529</v>
      </c>
      <c r="H226" t="s">
        <v>530</v>
      </c>
      <c r="I226" s="59">
        <f>_xlfn.IFNA(VLOOKUP(A226,'619'!D:F,3,FALSE),0)</f>
        <v>2923.7</v>
      </c>
      <c r="J226" s="59">
        <f>_xlfn.IFNA(VLOOKUP(A226,'619'!D:Q,14,FALSE),0)</f>
        <v>5488.2</v>
      </c>
      <c r="K226" s="59">
        <f>_xlfn.IFNA(VLOOKUP(A226,'619'!D:Q,14,FALSE),0)</f>
        <v>5488.2</v>
      </c>
      <c r="O226" t="s">
        <v>531</v>
      </c>
      <c r="P226" t="str">
        <f>_xlfn.IFNA(VLOOKUP(A226,IndirectCost!B:L,11,FALSE),"")</f>
        <v/>
      </c>
      <c r="Q226">
        <f t="shared" si="3"/>
        <v>0</v>
      </c>
    </row>
    <row r="227" spans="1:17">
      <c r="A227" t="s">
        <v>196</v>
      </c>
      <c r="B227" t="s">
        <v>796</v>
      </c>
      <c r="C227" t="str">
        <f>VLOOKUP(A227,Districts!A:I,9,FALSE)</f>
        <v>Edky, Inc.</v>
      </c>
      <c r="D227" t="str">
        <f>VLOOKUP(A227,Districts!A:P,16,FALSE)</f>
        <v>ENJNZ76ENKC9</v>
      </c>
      <c r="F227" s="1">
        <v>45200</v>
      </c>
      <c r="G227" t="s">
        <v>529</v>
      </c>
      <c r="H227" t="s">
        <v>530</v>
      </c>
      <c r="I227" s="59">
        <f>_xlfn.IFNA(VLOOKUP(A227,'619'!D:F,3,FALSE),0)</f>
        <v>892.55</v>
      </c>
      <c r="J227" s="59">
        <f>_xlfn.IFNA(VLOOKUP(A227,'619'!D:Q,14,FALSE),0)</f>
        <v>1618.43</v>
      </c>
      <c r="K227" s="59">
        <f>_xlfn.IFNA(VLOOKUP(A227,'619'!D:Q,14,FALSE),0)</f>
        <v>1618.43</v>
      </c>
      <c r="O227" t="s">
        <v>531</v>
      </c>
      <c r="P227" t="str">
        <f>_xlfn.IFNA(VLOOKUP(A227,IndirectCost!B:L,11,FALSE),"")</f>
        <v/>
      </c>
      <c r="Q227">
        <f t="shared" si="3"/>
        <v>0</v>
      </c>
    </row>
    <row r="228" spans="1:17">
      <c r="A228" t="s">
        <v>197</v>
      </c>
      <c r="B228" t="s">
        <v>797</v>
      </c>
      <c r="C228" t="str">
        <f>VLOOKUP(A228,Districts!A:I,9,FALSE)</f>
        <v>Edkey, Inc. Children First Leadership Academy</v>
      </c>
      <c r="D228" t="str">
        <f>VLOOKUP(A228,Districts!A:P,16,FALSE)</f>
        <v>D8YUW47K8Z18</v>
      </c>
      <c r="F228" s="1">
        <v>45200</v>
      </c>
      <c r="G228" t="s">
        <v>529</v>
      </c>
      <c r="H228" t="s">
        <v>530</v>
      </c>
      <c r="I228" s="59">
        <f>_xlfn.IFNA(VLOOKUP(A228,'619'!D:F,3,FALSE),0)</f>
        <v>379.53</v>
      </c>
      <c r="J228" s="59">
        <f>_xlfn.IFNA(VLOOKUP(A228,'619'!D:Q,14,FALSE),0)</f>
        <v>857.57</v>
      </c>
      <c r="K228" s="59">
        <f>_xlfn.IFNA(VLOOKUP(A228,'619'!D:Q,14,FALSE),0)</f>
        <v>857.57</v>
      </c>
      <c r="O228" t="s">
        <v>531</v>
      </c>
      <c r="P228" t="str">
        <f>_xlfn.IFNA(VLOOKUP(A228,IndirectCost!B:L,11,FALSE),"")</f>
        <v/>
      </c>
      <c r="Q228">
        <f t="shared" si="3"/>
        <v>0</v>
      </c>
    </row>
    <row r="229" spans="1:17">
      <c r="A229" t="s">
        <v>198</v>
      </c>
      <c r="B229" t="s">
        <v>798</v>
      </c>
      <c r="C229" t="str">
        <f>VLOOKUP(A229,Districts!A:I,9,FALSE)</f>
        <v>Edkey, Inc.</v>
      </c>
      <c r="D229" t="str">
        <f>VLOOKUP(A229,Districts!A:P,16,FALSE)</f>
        <v>D5CJR2NH5RQ6</v>
      </c>
      <c r="F229" s="1">
        <v>45200</v>
      </c>
      <c r="G229" t="s">
        <v>529</v>
      </c>
      <c r="H229" t="s">
        <v>530</v>
      </c>
      <c r="I229" s="59">
        <f>_xlfn.IFNA(VLOOKUP(A229,'619'!D:F,3,FALSE),0)</f>
        <v>1970.47</v>
      </c>
      <c r="J229" s="59">
        <f>_xlfn.IFNA(VLOOKUP(A229,'619'!D:Q,14,FALSE),0)</f>
        <v>4880.24</v>
      </c>
      <c r="K229" s="59">
        <f>_xlfn.IFNA(VLOOKUP(A229,'619'!D:Q,14,FALSE),0)</f>
        <v>4880.24</v>
      </c>
      <c r="O229" t="s">
        <v>531</v>
      </c>
      <c r="P229" t="str">
        <f>_xlfn.IFNA(VLOOKUP(A229,IndirectCost!B:L,11,FALSE),"")</f>
        <v/>
      </c>
      <c r="Q229">
        <f t="shared" si="3"/>
        <v>0</v>
      </c>
    </row>
    <row r="230" spans="1:17">
      <c r="A230" t="s">
        <v>199</v>
      </c>
      <c r="B230" t="s">
        <v>799</v>
      </c>
      <c r="C230" t="str">
        <f>VLOOKUP(A230,Districts!A:I,9,FALSE)</f>
        <v>Edkey, Inc. Sequoia Village School</v>
      </c>
      <c r="D230" t="str">
        <f>VLOOKUP(A230,Districts!A:P,16,FALSE)</f>
        <v>L2FQYDTEZ383</v>
      </c>
      <c r="F230" s="1">
        <v>45200</v>
      </c>
      <c r="G230" t="s">
        <v>529</v>
      </c>
      <c r="H230" t="s">
        <v>530</v>
      </c>
      <c r="I230" s="59">
        <f>_xlfn.IFNA(VLOOKUP(A230,'619'!D:F,3,FALSE),0)</f>
        <v>660.35</v>
      </c>
      <c r="J230" s="59">
        <f>_xlfn.IFNA(VLOOKUP(A230,'619'!D:Q,14,FALSE),0)</f>
        <v>691.43</v>
      </c>
      <c r="K230" s="59">
        <f>_xlfn.IFNA(VLOOKUP(A230,'619'!D:Q,14,FALSE),0)</f>
        <v>691.43</v>
      </c>
      <c r="O230" t="s">
        <v>531</v>
      </c>
      <c r="P230" t="str">
        <f>_xlfn.IFNA(VLOOKUP(A230,IndirectCost!B:L,11,FALSE),"")</f>
        <v/>
      </c>
      <c r="Q230">
        <f t="shared" si="3"/>
        <v>0</v>
      </c>
    </row>
    <row r="231" spans="1:17">
      <c r="A231" t="s">
        <v>200</v>
      </c>
      <c r="B231" t="s">
        <v>800</v>
      </c>
      <c r="C231" t="str">
        <f>VLOOKUP(A231,Districts!A:I,9,FALSE)</f>
        <v>Educational Impact, Inc.</v>
      </c>
      <c r="D231" t="str">
        <f>VLOOKUP(A231,Districts!A:P,16,FALSE)</f>
        <v>KZ8NBYE89ZV3</v>
      </c>
      <c r="F231" s="1">
        <v>45200</v>
      </c>
      <c r="G231" t="s">
        <v>529</v>
      </c>
      <c r="H231" t="s">
        <v>530</v>
      </c>
      <c r="I231" s="59">
        <f>_xlfn.IFNA(VLOOKUP(A231,'619'!D:F,3,FALSE),0)</f>
        <v>355.87</v>
      </c>
      <c r="J231" s="59">
        <f>_xlfn.IFNA(VLOOKUP(A231,'619'!D:Q,14,FALSE),0)</f>
        <v>0</v>
      </c>
      <c r="K231" s="59">
        <f>_xlfn.IFNA(VLOOKUP(A231,'619'!D:Q,14,FALSE),0)</f>
        <v>0</v>
      </c>
      <c r="O231" t="s">
        <v>531</v>
      </c>
      <c r="P231" t="str">
        <f>_xlfn.IFNA(VLOOKUP(A231,IndirectCost!B:L,11,FALSE),"")</f>
        <v/>
      </c>
      <c r="Q231">
        <f t="shared" si="3"/>
        <v>0</v>
      </c>
    </row>
    <row r="232" spans="1:17">
      <c r="A232" t="s">
        <v>801</v>
      </c>
      <c r="B232" t="s">
        <v>802</v>
      </c>
      <c r="C232" t="str">
        <f>VLOOKUP(A232,Districts!A:I,9,FALSE)</f>
        <v>Educational Options Foundation DBA EdOptions Preparatory Academy</v>
      </c>
      <c r="D232" t="str">
        <f>VLOOKUP(A232,Districts!A:P,16,FALSE)</f>
        <v>F4EPA5Q8YTX1</v>
      </c>
      <c r="F232" s="1">
        <v>45200</v>
      </c>
      <c r="G232" t="s">
        <v>529</v>
      </c>
      <c r="H232" t="s">
        <v>530</v>
      </c>
      <c r="I232" s="59">
        <f>_xlfn.IFNA(VLOOKUP(A232,'619'!D:F,3,FALSE),0)</f>
        <v>0</v>
      </c>
      <c r="J232" s="59">
        <f>_xlfn.IFNA(VLOOKUP(A232,'619'!D:Q,14,FALSE),0)</f>
        <v>0</v>
      </c>
      <c r="K232" s="59">
        <f>_xlfn.IFNA(VLOOKUP(A232,'619'!D:Q,14,FALSE),0)</f>
        <v>0</v>
      </c>
      <c r="O232" t="s">
        <v>531</v>
      </c>
      <c r="P232">
        <f>_xlfn.IFNA(VLOOKUP(A232,IndirectCost!B:L,11,FALSE),"")</f>
        <v>8</v>
      </c>
      <c r="Q232">
        <f t="shared" si="3"/>
        <v>0.08</v>
      </c>
    </row>
    <row r="233" spans="1:17">
      <c r="A233" t="s">
        <v>201</v>
      </c>
      <c r="B233" t="s">
        <v>803</v>
      </c>
      <c r="C233" t="str">
        <f>VLOOKUP(A233,Districts!A:I,9,FALSE)</f>
        <v>Elfrida Elementary School District</v>
      </c>
      <c r="D233" t="str">
        <f>VLOOKUP(A233,Districts!A:P,16,FALSE)</f>
        <v>HJW6JEZ4FNY5</v>
      </c>
      <c r="F233" s="1">
        <v>45200</v>
      </c>
      <c r="G233" t="s">
        <v>529</v>
      </c>
      <c r="H233" t="s">
        <v>530</v>
      </c>
      <c r="I233" s="59">
        <f>_xlfn.IFNA(VLOOKUP(A233,'619'!D:F,3,FALSE),0)</f>
        <v>551.05999999999995</v>
      </c>
      <c r="J233" s="59">
        <f>_xlfn.IFNA(VLOOKUP(A233,'619'!D:Q,14,FALSE),0)</f>
        <v>551.05999999999995</v>
      </c>
      <c r="K233" s="59">
        <f>_xlfn.IFNA(VLOOKUP(A233,'619'!D:Q,14,FALSE),0)</f>
        <v>551.05999999999995</v>
      </c>
      <c r="O233" t="s">
        <v>531</v>
      </c>
      <c r="P233" t="str">
        <f>_xlfn.IFNA(VLOOKUP(A233,IndirectCost!B:L,11,FALSE),"")</f>
        <v/>
      </c>
      <c r="Q233">
        <f t="shared" si="3"/>
        <v>0</v>
      </c>
    </row>
    <row r="234" spans="1:17">
      <c r="A234" t="s">
        <v>202</v>
      </c>
      <c r="B234" t="s">
        <v>804</v>
      </c>
      <c r="C234" t="str">
        <f>VLOOKUP(A234,Districts!A:I,9,FALSE)</f>
        <v>Eloy Elementary School District #11</v>
      </c>
      <c r="D234" t="str">
        <f>VLOOKUP(A234,Districts!A:P,16,FALSE)</f>
        <v>E1YNLJTJ4LB7</v>
      </c>
      <c r="F234" s="1">
        <v>45200</v>
      </c>
      <c r="G234" t="s">
        <v>529</v>
      </c>
      <c r="H234" t="s">
        <v>530</v>
      </c>
      <c r="I234" s="59">
        <f>_xlfn.IFNA(VLOOKUP(A234,'619'!D:F,3,FALSE),0)</f>
        <v>3441.66</v>
      </c>
      <c r="J234" s="59">
        <f>_xlfn.IFNA(VLOOKUP(A234,'619'!D:Q,14,FALSE),0)</f>
        <v>6392.77</v>
      </c>
      <c r="K234" s="59">
        <f>_xlfn.IFNA(VLOOKUP(A234,'619'!D:Q,14,FALSE),0)</f>
        <v>6392.77</v>
      </c>
      <c r="O234" t="s">
        <v>531</v>
      </c>
      <c r="P234">
        <f>_xlfn.IFNA(VLOOKUP(A234,IndirectCost!B:L,11,FALSE),"")</f>
        <v>8</v>
      </c>
      <c r="Q234">
        <f t="shared" si="3"/>
        <v>0.08</v>
      </c>
    </row>
    <row r="235" spans="1:17">
      <c r="A235" t="s">
        <v>203</v>
      </c>
      <c r="B235" t="s">
        <v>805</v>
      </c>
      <c r="C235" t="str">
        <f>VLOOKUP(A235,Districts!A:I,9,FALSE)</f>
        <v>Empower College Prep</v>
      </c>
      <c r="D235" t="str">
        <f>VLOOKUP(A235,Districts!A:P,16,FALSE)</f>
        <v>JRUMNXR7VXS4</v>
      </c>
      <c r="F235" s="1">
        <v>45200</v>
      </c>
      <c r="G235" t="s">
        <v>529</v>
      </c>
      <c r="H235" t="s">
        <v>530</v>
      </c>
      <c r="I235" s="59">
        <f>_xlfn.IFNA(VLOOKUP(A235,'619'!D:F,3,FALSE),0)</f>
        <v>1250.24</v>
      </c>
      <c r="J235" s="59">
        <f>_xlfn.IFNA(VLOOKUP(A235,'619'!D:Q,14,FALSE),0)</f>
        <v>1396.25</v>
      </c>
      <c r="K235" s="59">
        <f>_xlfn.IFNA(VLOOKUP(A235,'619'!D:Q,14,FALSE),0)</f>
        <v>1396.25</v>
      </c>
      <c r="O235" t="s">
        <v>531</v>
      </c>
      <c r="P235">
        <f>_xlfn.IFNA(VLOOKUP(A235,IndirectCost!B:L,11,FALSE),"")</f>
        <v>8</v>
      </c>
      <c r="Q235">
        <f t="shared" si="3"/>
        <v>0.08</v>
      </c>
    </row>
    <row r="236" spans="1:17">
      <c r="A236" t="s">
        <v>806</v>
      </c>
      <c r="B236" t="s">
        <v>807</v>
      </c>
      <c r="C236" t="str">
        <f>VLOOKUP(A236,Districts!A:I,9,FALSE)</f>
        <v>Espiritu Community Development Corp</v>
      </c>
      <c r="D236" t="str">
        <f>VLOOKUP(A236,Districts!A:P,16,FALSE)</f>
        <v>KL7NFS8W8E33</v>
      </c>
      <c r="F236" s="1">
        <v>45200</v>
      </c>
      <c r="G236" t="s">
        <v>529</v>
      </c>
      <c r="H236" t="s">
        <v>530</v>
      </c>
      <c r="I236" s="59">
        <f>_xlfn.IFNA(VLOOKUP(A236,'619'!D:F,3,FALSE),0)</f>
        <v>0</v>
      </c>
      <c r="J236" s="59">
        <f>_xlfn.IFNA(VLOOKUP(A236,'619'!D:Q,14,FALSE),0)</f>
        <v>0</v>
      </c>
      <c r="K236" s="59">
        <f>_xlfn.IFNA(VLOOKUP(A236,'619'!D:Q,14,FALSE),0)</f>
        <v>0</v>
      </c>
      <c r="O236" t="s">
        <v>531</v>
      </c>
      <c r="P236" t="str">
        <f>_xlfn.IFNA(VLOOKUP(A236,IndirectCost!B:L,11,FALSE),"")</f>
        <v/>
      </c>
      <c r="Q236">
        <f t="shared" si="3"/>
        <v>0</v>
      </c>
    </row>
    <row r="237" spans="1:17">
      <c r="A237" t="s">
        <v>204</v>
      </c>
      <c r="B237" t="s">
        <v>807</v>
      </c>
      <c r="C237" t="str">
        <f>VLOOKUP(A237,Districts!A:I,9,FALSE)</f>
        <v>Espiritu Community Development Corp</v>
      </c>
      <c r="D237" t="str">
        <f>VLOOKUP(A237,Districts!A:P,16,FALSE)</f>
        <v>KL7NFS8W8E33</v>
      </c>
      <c r="F237" s="1">
        <v>45200</v>
      </c>
      <c r="G237" t="s">
        <v>529</v>
      </c>
      <c r="H237" t="s">
        <v>530</v>
      </c>
      <c r="I237" s="59">
        <f>_xlfn.IFNA(VLOOKUP(A237,'619'!D:F,3,FALSE),0)</f>
        <v>523.28</v>
      </c>
      <c r="J237" s="59">
        <f>_xlfn.IFNA(VLOOKUP(A237,'619'!D:Q,14,FALSE),0)</f>
        <v>1043.81</v>
      </c>
      <c r="K237" s="59">
        <f>_xlfn.IFNA(VLOOKUP(A237,'619'!D:Q,14,FALSE),0)</f>
        <v>1043.81</v>
      </c>
      <c r="O237" t="s">
        <v>531</v>
      </c>
      <c r="P237" t="str">
        <f>_xlfn.IFNA(VLOOKUP(A237,IndirectCost!B:L,11,FALSE),"")</f>
        <v/>
      </c>
      <c r="Q237">
        <f t="shared" si="3"/>
        <v>0</v>
      </c>
    </row>
    <row r="238" spans="1:17">
      <c r="A238" t="s">
        <v>808</v>
      </c>
      <c r="B238" t="s">
        <v>809</v>
      </c>
      <c r="C238" t="str">
        <f>VLOOKUP(A238,Districts!A:I,9,FALSE)</f>
        <v>Espiritu Schools</v>
      </c>
      <c r="D238" t="str">
        <f>VLOOKUP(A238,Districts!A:P,16,FALSE)</f>
        <v>NLH4N862U6C5</v>
      </c>
      <c r="F238" s="1">
        <v>45200</v>
      </c>
      <c r="G238" t="s">
        <v>529</v>
      </c>
      <c r="H238" t="s">
        <v>530</v>
      </c>
      <c r="I238" s="59">
        <f>_xlfn.IFNA(VLOOKUP(A238,'619'!D:F,3,FALSE),0)</f>
        <v>0</v>
      </c>
      <c r="J238" s="59">
        <f>_xlfn.IFNA(VLOOKUP(A238,'619'!D:Q,14,FALSE),0)</f>
        <v>0</v>
      </c>
      <c r="K238" s="59">
        <f>_xlfn.IFNA(VLOOKUP(A238,'619'!D:Q,14,FALSE),0)</f>
        <v>0</v>
      </c>
      <c r="O238" t="s">
        <v>531</v>
      </c>
      <c r="P238" t="str">
        <f>_xlfn.IFNA(VLOOKUP(A238,IndirectCost!B:L,11,FALSE),"")</f>
        <v/>
      </c>
      <c r="Q238">
        <f t="shared" si="3"/>
        <v>0</v>
      </c>
    </row>
    <row r="239" spans="1:17">
      <c r="A239" t="s">
        <v>810</v>
      </c>
      <c r="B239" t="s">
        <v>811</v>
      </c>
      <c r="C239" t="str">
        <f>VLOOKUP(A239,Districts!A:I,9,FALSE)</f>
        <v>Estrella Educational Foundation</v>
      </c>
      <c r="D239" t="str">
        <f>VLOOKUP(A239,Districts!A:P,16,FALSE)</f>
        <v>JTNNA4MDMRB8</v>
      </c>
      <c r="F239" s="1">
        <v>45200</v>
      </c>
      <c r="G239" t="s">
        <v>529</v>
      </c>
      <c r="H239" t="s">
        <v>530</v>
      </c>
      <c r="I239" s="59">
        <f>_xlfn.IFNA(VLOOKUP(A239,'619'!D:F,3,FALSE),0)</f>
        <v>0</v>
      </c>
      <c r="J239" s="59">
        <f>_xlfn.IFNA(VLOOKUP(A239,'619'!D:Q,14,FALSE),0)</f>
        <v>0</v>
      </c>
      <c r="K239" s="59">
        <f>_xlfn.IFNA(VLOOKUP(A239,'619'!D:Q,14,FALSE),0)</f>
        <v>0</v>
      </c>
      <c r="O239" t="s">
        <v>531</v>
      </c>
      <c r="P239">
        <f>_xlfn.IFNA(VLOOKUP(A239,IndirectCost!B:L,11,FALSE),"")</f>
        <v>8</v>
      </c>
      <c r="Q239">
        <f t="shared" si="3"/>
        <v>0.08</v>
      </c>
    </row>
    <row r="240" spans="1:17">
      <c r="A240" t="s">
        <v>205</v>
      </c>
      <c r="B240" t="s">
        <v>812</v>
      </c>
      <c r="C240" t="str">
        <f>VLOOKUP(A240,Districts!A:I,9,FALSE)</f>
        <v>Ethos Academy A Challenge Foundation Academy, Inc</v>
      </c>
      <c r="D240" t="str">
        <f>VLOOKUP(A240,Districts!A:P,16,FALSE)</f>
        <v>TK19DZXX5AC1</v>
      </c>
      <c r="F240" s="1">
        <v>45200</v>
      </c>
      <c r="G240" t="s">
        <v>529</v>
      </c>
      <c r="H240" t="s">
        <v>530</v>
      </c>
      <c r="I240" s="59">
        <f>_xlfn.IFNA(VLOOKUP(A240,'619'!D:F,3,FALSE),0)</f>
        <v>454.69</v>
      </c>
      <c r="J240" s="59">
        <f>_xlfn.IFNA(VLOOKUP(A240,'619'!D:Q,14,FALSE),0)</f>
        <v>0</v>
      </c>
      <c r="K240" s="59">
        <f>_xlfn.IFNA(VLOOKUP(A240,'619'!D:Q,14,FALSE),0)</f>
        <v>0</v>
      </c>
      <c r="O240" t="s">
        <v>531</v>
      </c>
      <c r="P240" t="str">
        <f>_xlfn.IFNA(VLOOKUP(A240,IndirectCost!B:L,11,FALSE),"")</f>
        <v/>
      </c>
      <c r="Q240">
        <f t="shared" si="3"/>
        <v>0</v>
      </c>
    </row>
    <row r="241" spans="1:17">
      <c r="A241" t="s">
        <v>206</v>
      </c>
      <c r="B241" t="s">
        <v>813</v>
      </c>
      <c r="C241" t="str">
        <f>VLOOKUP(A241,Districts!A:I,9,FALSE)</f>
        <v>Excalibur Charter Schools, Inc.</v>
      </c>
      <c r="D241" t="str">
        <f>VLOOKUP(A241,Districts!A:P,16,FALSE)</f>
        <v>JYBMAB7LNJN1</v>
      </c>
      <c r="F241" s="1">
        <v>45200</v>
      </c>
      <c r="G241" t="s">
        <v>529</v>
      </c>
      <c r="H241" t="s">
        <v>530</v>
      </c>
      <c r="I241" s="59">
        <f>_xlfn.IFNA(VLOOKUP(A241,'619'!D:F,3,FALSE),0)</f>
        <v>1095.8</v>
      </c>
      <c r="J241" s="59">
        <f>_xlfn.IFNA(VLOOKUP(A241,'619'!D:Q,14,FALSE),0)</f>
        <v>0</v>
      </c>
      <c r="K241" s="59">
        <f>_xlfn.IFNA(VLOOKUP(A241,'619'!D:Q,14,FALSE),0)</f>
        <v>0</v>
      </c>
      <c r="O241" t="s">
        <v>531</v>
      </c>
      <c r="P241" t="str">
        <f>_xlfn.IFNA(VLOOKUP(A241,IndirectCost!B:L,11,FALSE),"")</f>
        <v/>
      </c>
      <c r="Q241">
        <f t="shared" si="3"/>
        <v>0</v>
      </c>
    </row>
    <row r="242" spans="1:17">
      <c r="A242" t="s">
        <v>207</v>
      </c>
      <c r="B242" t="s">
        <v>814</v>
      </c>
      <c r="C242" t="str">
        <f>VLOOKUP(A242,Districts!A:I,9,FALSE)</f>
        <v>FIT KIDS, INC.</v>
      </c>
      <c r="D242" t="str">
        <f>VLOOKUP(A242,Districts!A:P,16,FALSE)</f>
        <v>TLPJVESB4J79</v>
      </c>
      <c r="F242" s="1">
        <v>45200</v>
      </c>
      <c r="G242" t="s">
        <v>529</v>
      </c>
      <c r="H242" t="s">
        <v>530</v>
      </c>
      <c r="I242" s="59">
        <f>_xlfn.IFNA(VLOOKUP(A242,'619'!D:F,3,FALSE),0)</f>
        <v>1930.67</v>
      </c>
      <c r="J242" s="59">
        <f>_xlfn.IFNA(VLOOKUP(A242,'619'!D:Q,14,FALSE),0)</f>
        <v>1930.67</v>
      </c>
      <c r="K242" s="59">
        <f>_xlfn.IFNA(VLOOKUP(A242,'619'!D:Q,14,FALSE),0)</f>
        <v>1930.67</v>
      </c>
      <c r="O242" t="s">
        <v>531</v>
      </c>
      <c r="P242">
        <f>_xlfn.IFNA(VLOOKUP(A242,IndirectCost!B:L,11,FALSE),"")</f>
        <v>8</v>
      </c>
      <c r="Q242">
        <f t="shared" si="3"/>
        <v>0.08</v>
      </c>
    </row>
    <row r="243" spans="1:17">
      <c r="A243" t="s">
        <v>815</v>
      </c>
      <c r="B243" t="s">
        <v>816</v>
      </c>
      <c r="C243" t="str">
        <f>VLOOKUP(A243,Districts!A:I,9,FALSE)</f>
        <v>Flagstaff Arts and Leadership Academy Inc</v>
      </c>
      <c r="D243" t="str">
        <f>VLOOKUP(A243,Districts!A:P,16,FALSE)</f>
        <v>D2YUY5UB9UM7</v>
      </c>
      <c r="F243" s="1">
        <v>45200</v>
      </c>
      <c r="G243" t="s">
        <v>529</v>
      </c>
      <c r="H243" t="s">
        <v>530</v>
      </c>
      <c r="I243" s="59">
        <f>_xlfn.IFNA(VLOOKUP(A243,'619'!D:F,3,FALSE),0)</f>
        <v>0</v>
      </c>
      <c r="J243" s="59">
        <f>_xlfn.IFNA(VLOOKUP(A243,'619'!D:Q,14,FALSE),0)</f>
        <v>0</v>
      </c>
      <c r="K243" s="59">
        <f>_xlfn.IFNA(VLOOKUP(A243,'619'!D:Q,14,FALSE),0)</f>
        <v>0</v>
      </c>
      <c r="O243" t="s">
        <v>531</v>
      </c>
      <c r="P243" t="str">
        <f>_xlfn.IFNA(VLOOKUP(A243,IndirectCost!B:L,11,FALSE),"")</f>
        <v/>
      </c>
      <c r="Q243">
        <f t="shared" si="3"/>
        <v>0</v>
      </c>
    </row>
    <row r="244" spans="1:17">
      <c r="A244" t="s">
        <v>208</v>
      </c>
      <c r="B244" t="s">
        <v>817</v>
      </c>
      <c r="C244" t="str">
        <f>VLOOKUP(A244,Districts!A:I,9,FALSE)</f>
        <v>FLAGSTAFF JR ACADEMY INC</v>
      </c>
      <c r="D244" t="str">
        <f>VLOOKUP(A244,Districts!A:P,16,FALSE)</f>
        <v>K87LTFNHX5Q5</v>
      </c>
      <c r="F244" s="1">
        <v>45200</v>
      </c>
      <c r="G244" t="s">
        <v>529</v>
      </c>
      <c r="H244" t="s">
        <v>530</v>
      </c>
      <c r="I244" s="59">
        <f>_xlfn.IFNA(VLOOKUP(A244,'619'!D:F,3,FALSE),0)</f>
        <v>1206.79</v>
      </c>
      <c r="J244" s="59">
        <f>_xlfn.IFNA(VLOOKUP(A244,'619'!D:Q,14,FALSE),0)</f>
        <v>1384.87</v>
      </c>
      <c r="K244" s="59">
        <f>_xlfn.IFNA(VLOOKUP(A244,'619'!D:Q,14,FALSE),0)</f>
        <v>1384.87</v>
      </c>
      <c r="O244" t="s">
        <v>531</v>
      </c>
      <c r="P244" t="str">
        <f>_xlfn.IFNA(VLOOKUP(A244,IndirectCost!B:L,11,FALSE),"")</f>
        <v/>
      </c>
      <c r="Q244">
        <f t="shared" si="3"/>
        <v>0</v>
      </c>
    </row>
    <row r="245" spans="1:17">
      <c r="A245" t="s">
        <v>209</v>
      </c>
      <c r="B245" t="s">
        <v>818</v>
      </c>
      <c r="C245" t="str">
        <f>VLOOKUP(A245,Districts!A:I,9,FALSE)</f>
        <v>Flagstaff Montessori</v>
      </c>
      <c r="D245" t="str">
        <f>VLOOKUP(A245,Districts!A:P,16,FALSE)</f>
        <v>QFXMDJ24J9N7</v>
      </c>
      <c r="F245" s="1">
        <v>45200</v>
      </c>
      <c r="G245" t="s">
        <v>529</v>
      </c>
      <c r="H245" t="s">
        <v>530</v>
      </c>
      <c r="I245" s="59">
        <f>_xlfn.IFNA(VLOOKUP(A245,'619'!D:F,3,FALSE),0)</f>
        <v>466.09</v>
      </c>
      <c r="J245" s="59">
        <f>_xlfn.IFNA(VLOOKUP(A245,'619'!D:Q,14,FALSE),0)</f>
        <v>466.09</v>
      </c>
      <c r="K245" s="59">
        <f>_xlfn.IFNA(VLOOKUP(A245,'619'!D:Q,14,FALSE),0)</f>
        <v>466.09</v>
      </c>
      <c r="O245" t="s">
        <v>531</v>
      </c>
      <c r="P245">
        <f>_xlfn.IFNA(VLOOKUP(A245,IndirectCost!B:L,11,FALSE),"")</f>
        <v>0</v>
      </c>
      <c r="Q245">
        <f t="shared" si="3"/>
        <v>0</v>
      </c>
    </row>
    <row r="246" spans="1:17">
      <c r="A246" t="s">
        <v>210</v>
      </c>
      <c r="B246" t="s">
        <v>819</v>
      </c>
      <c r="C246" t="str">
        <f>VLOOKUP(A246,Districts!A:I,9,FALSE)</f>
        <v>Flagstaff Unified School District</v>
      </c>
      <c r="D246" t="str">
        <f>VLOOKUP(A246,Districts!A:P,16,FALSE)</f>
        <v>TE3UETKNFWU9</v>
      </c>
      <c r="F246" s="1">
        <v>45200</v>
      </c>
      <c r="G246" t="s">
        <v>529</v>
      </c>
      <c r="H246" t="s">
        <v>530</v>
      </c>
      <c r="I246" s="59">
        <f>_xlfn.IFNA(VLOOKUP(A246,'619'!D:F,3,FALSE),0)</f>
        <v>63140.05</v>
      </c>
      <c r="J246" s="59">
        <f>_xlfn.IFNA(VLOOKUP(A246,'619'!D:Q,14,FALSE),0)</f>
        <v>69483.009999999995</v>
      </c>
      <c r="K246" s="59">
        <f>_xlfn.IFNA(VLOOKUP(A246,'619'!D:Q,14,FALSE),0)</f>
        <v>69483.009999999995</v>
      </c>
      <c r="O246" t="s">
        <v>531</v>
      </c>
      <c r="P246">
        <f>_xlfn.IFNA(VLOOKUP(A246,IndirectCost!B:L,11,FALSE),"")</f>
        <v>0</v>
      </c>
      <c r="Q246">
        <f t="shared" si="3"/>
        <v>0</v>
      </c>
    </row>
    <row r="247" spans="1:17">
      <c r="A247" t="s">
        <v>211</v>
      </c>
      <c r="B247" t="s">
        <v>820</v>
      </c>
      <c r="C247" t="str">
        <f>VLOOKUP(A247,Districts!A:I,9,FALSE)</f>
        <v>Florence Unif School District 1</v>
      </c>
      <c r="D247" t="str">
        <f>VLOOKUP(A247,Districts!A:P,16,FALSE)</f>
        <v>VDY3EF6C8XW3</v>
      </c>
      <c r="F247" s="1">
        <v>45200</v>
      </c>
      <c r="G247" t="s">
        <v>529</v>
      </c>
      <c r="H247" t="s">
        <v>530</v>
      </c>
      <c r="I247" s="59">
        <f>_xlfn.IFNA(VLOOKUP(A247,'619'!D:F,3,FALSE),0)</f>
        <v>19828.68</v>
      </c>
      <c r="J247" s="59">
        <f>_xlfn.IFNA(VLOOKUP(A247,'619'!D:Q,14,FALSE),0)</f>
        <v>20366.23</v>
      </c>
      <c r="K247" s="59">
        <f>_xlfn.IFNA(VLOOKUP(A247,'619'!D:Q,14,FALSE),0)</f>
        <v>20366.23</v>
      </c>
      <c r="O247" t="s">
        <v>531</v>
      </c>
      <c r="P247">
        <f>_xlfn.IFNA(VLOOKUP(A247,IndirectCost!B:L,11,FALSE),"")</f>
        <v>2.78</v>
      </c>
      <c r="Q247">
        <f t="shared" si="3"/>
        <v>2.7799999999999998E-2</v>
      </c>
    </row>
    <row r="248" spans="1:17">
      <c r="A248" t="s">
        <v>212</v>
      </c>
      <c r="B248" t="s">
        <v>821</v>
      </c>
      <c r="C248" t="str">
        <f>VLOOKUP(A248,Districts!A:I,9,FALSE)</f>
        <v>Flowing Wells Unified SD #8</v>
      </c>
      <c r="D248" t="str">
        <f>VLOOKUP(A248,Districts!A:P,16,FALSE)</f>
        <v>J2H6MA99NZ33</v>
      </c>
      <c r="F248" s="1">
        <v>45200</v>
      </c>
      <c r="G248" t="s">
        <v>529</v>
      </c>
      <c r="H248" t="s">
        <v>530</v>
      </c>
      <c r="I248" s="59">
        <f>_xlfn.IFNA(VLOOKUP(A248,'619'!D:F,3,FALSE),0)</f>
        <v>26419.62</v>
      </c>
      <c r="J248" s="59">
        <f>_xlfn.IFNA(VLOOKUP(A248,'619'!D:Q,14,FALSE),0)</f>
        <v>42236.14</v>
      </c>
      <c r="K248" s="59">
        <f>_xlfn.IFNA(VLOOKUP(A248,'619'!D:Q,14,FALSE),0)</f>
        <v>42236.14</v>
      </c>
      <c r="O248" t="s">
        <v>531</v>
      </c>
      <c r="P248">
        <f>_xlfn.IFNA(VLOOKUP(A248,IndirectCost!B:L,11,FALSE),"")</f>
        <v>5.47</v>
      </c>
      <c r="Q248">
        <f t="shared" si="3"/>
        <v>5.4699999999999999E-2</v>
      </c>
    </row>
    <row r="249" spans="1:17">
      <c r="A249" t="s">
        <v>213</v>
      </c>
      <c r="B249" t="s">
        <v>822</v>
      </c>
      <c r="C249" t="str">
        <f>VLOOKUP(A249,Districts!A:I,9,FALSE)</f>
        <v>Fort Huachuca Accommodation School District</v>
      </c>
      <c r="D249" t="str">
        <f>VLOOKUP(A249,Districts!A:P,16,FALSE)</f>
        <v>TMN6UW74NS44</v>
      </c>
      <c r="F249" s="1">
        <v>45200</v>
      </c>
      <c r="G249" t="s">
        <v>529</v>
      </c>
      <c r="H249" t="s">
        <v>530</v>
      </c>
      <c r="I249" s="59">
        <f>_xlfn.IFNA(VLOOKUP(A249,'619'!D:F,3,FALSE),0)</f>
        <v>8869.2199999999993</v>
      </c>
      <c r="J249" s="59">
        <f>_xlfn.IFNA(VLOOKUP(A249,'619'!D:Q,14,FALSE),0)</f>
        <v>8869.2199999999993</v>
      </c>
      <c r="K249" s="59">
        <f>_xlfn.IFNA(VLOOKUP(A249,'619'!D:Q,14,FALSE),0)</f>
        <v>8869.2199999999993</v>
      </c>
      <c r="O249" t="s">
        <v>531</v>
      </c>
      <c r="P249" t="str">
        <f>_xlfn.IFNA(VLOOKUP(A249,IndirectCost!B:L,11,FALSE),"")</f>
        <v/>
      </c>
      <c r="Q249">
        <f t="shared" si="3"/>
        <v>0</v>
      </c>
    </row>
    <row r="250" spans="1:17">
      <c r="A250" t="s">
        <v>214</v>
      </c>
      <c r="B250" t="s">
        <v>823</v>
      </c>
      <c r="C250" t="str">
        <f>VLOOKUP(A250,Districts!A:I,9,FALSE)</f>
        <v>Fort Thomas Unified School District #7</v>
      </c>
      <c r="D250" t="str">
        <f>VLOOKUP(A250,Districts!A:P,16,FALSE)</f>
        <v>GA3NV8ZLUAK3</v>
      </c>
      <c r="F250" s="1">
        <v>45200</v>
      </c>
      <c r="G250" t="s">
        <v>529</v>
      </c>
      <c r="H250" t="s">
        <v>530</v>
      </c>
      <c r="I250" s="59">
        <f>_xlfn.IFNA(VLOOKUP(A250,'619'!D:F,3,FALSE),0)</f>
        <v>3305.29</v>
      </c>
      <c r="J250" s="59">
        <f>_xlfn.IFNA(VLOOKUP(A250,'619'!D:Q,14,FALSE),0)</f>
        <v>3305.29</v>
      </c>
      <c r="K250" s="59">
        <f>_xlfn.IFNA(VLOOKUP(A250,'619'!D:Q,14,FALSE),0)</f>
        <v>3305.29</v>
      </c>
      <c r="O250" t="s">
        <v>531</v>
      </c>
      <c r="P250">
        <f>_xlfn.IFNA(VLOOKUP(A250,IndirectCost!B:L,11,FALSE),"")</f>
        <v>7.1</v>
      </c>
      <c r="Q250">
        <f t="shared" si="3"/>
        <v>7.0999999999999994E-2</v>
      </c>
    </row>
    <row r="251" spans="1:17">
      <c r="A251" t="s">
        <v>215</v>
      </c>
      <c r="B251" t="s">
        <v>824</v>
      </c>
      <c r="C251" t="str">
        <f>VLOOKUP(A251,Districts!A:I,9,FALSE)</f>
        <v>Fountain Hills Unified School District</v>
      </c>
      <c r="D251" t="str">
        <f>VLOOKUP(A251,Districts!A:P,16,FALSE)</f>
        <v>T8L3L1N4MM66</v>
      </c>
      <c r="F251" s="1">
        <v>45200</v>
      </c>
      <c r="G251" t="s">
        <v>529</v>
      </c>
      <c r="H251" t="s">
        <v>530</v>
      </c>
      <c r="I251" s="59">
        <f>_xlfn.IFNA(VLOOKUP(A251,'619'!D:F,3,FALSE),0)</f>
        <v>7087.81</v>
      </c>
      <c r="J251" s="59">
        <f>_xlfn.IFNA(VLOOKUP(A251,'619'!D:Q,14,FALSE),0)</f>
        <v>7087.81</v>
      </c>
      <c r="K251" s="59">
        <f>_xlfn.IFNA(VLOOKUP(A251,'619'!D:Q,14,FALSE),0)</f>
        <v>7087.81</v>
      </c>
      <c r="O251" t="s">
        <v>531</v>
      </c>
      <c r="P251">
        <f>_xlfn.IFNA(VLOOKUP(A251,IndirectCost!B:L,11,FALSE),"")</f>
        <v>7.48</v>
      </c>
      <c r="Q251">
        <f t="shared" si="3"/>
        <v>7.4800000000000005E-2</v>
      </c>
    </row>
    <row r="252" spans="1:17">
      <c r="A252" t="s">
        <v>216</v>
      </c>
      <c r="B252" t="s">
        <v>825</v>
      </c>
      <c r="C252" t="str">
        <f>VLOOKUP(A252,Districts!A:I,9,FALSE)</f>
        <v>Fowler Elementary School District No. 45</v>
      </c>
      <c r="D252" t="str">
        <f>VLOOKUP(A252,Districts!A:P,16,FALSE)</f>
        <v>SE9CJYAMWC94</v>
      </c>
      <c r="F252" s="1">
        <v>45200</v>
      </c>
      <c r="G252" t="s">
        <v>529</v>
      </c>
      <c r="H252" t="s">
        <v>530</v>
      </c>
      <c r="I252" s="59">
        <f>_xlfn.IFNA(VLOOKUP(A252,'619'!D:F,3,FALSE),0)</f>
        <v>23803.29</v>
      </c>
      <c r="J252" s="59">
        <f>_xlfn.IFNA(VLOOKUP(A252,'619'!D:Q,14,FALSE),0)</f>
        <v>33831.589999999997</v>
      </c>
      <c r="K252" s="59">
        <f>_xlfn.IFNA(VLOOKUP(A252,'619'!D:Q,14,FALSE),0)</f>
        <v>33831.589999999997</v>
      </c>
      <c r="O252" t="s">
        <v>531</v>
      </c>
      <c r="P252">
        <f>_xlfn.IFNA(VLOOKUP(A252,IndirectCost!B:L,11,FALSE),"")</f>
        <v>5.03</v>
      </c>
      <c r="Q252">
        <f t="shared" si="3"/>
        <v>5.0300000000000004E-2</v>
      </c>
    </row>
    <row r="253" spans="1:17">
      <c r="A253" t="s">
        <v>217</v>
      </c>
      <c r="B253" t="s">
        <v>826</v>
      </c>
      <c r="C253" t="str">
        <f>VLOOKUP(A253,Districts!A:I,9,FALSE)</f>
        <v>Franklin Phonetic Primary School, Inc</v>
      </c>
      <c r="D253" t="str">
        <f>VLOOKUP(A253,Districts!A:P,16,FALSE)</f>
        <v>LLR3VWZTQYC9</v>
      </c>
      <c r="F253" s="1">
        <v>45200</v>
      </c>
      <c r="G253" t="s">
        <v>529</v>
      </c>
      <c r="H253" t="s">
        <v>530</v>
      </c>
      <c r="I253" s="59">
        <f>_xlfn.IFNA(VLOOKUP(A253,'619'!D:F,3,FALSE),0)</f>
        <v>1142.0999999999999</v>
      </c>
      <c r="J253" s="59">
        <f>_xlfn.IFNA(VLOOKUP(A253,'619'!D:Q,14,FALSE),0)</f>
        <v>1142.0999999999999</v>
      </c>
      <c r="K253" s="59">
        <f>_xlfn.IFNA(VLOOKUP(A253,'619'!D:Q,14,FALSE),0)</f>
        <v>1142.0999999999999</v>
      </c>
      <c r="O253" t="s">
        <v>531</v>
      </c>
      <c r="P253" t="str">
        <f>_xlfn.IFNA(VLOOKUP(A253,IndirectCost!B:L,11,FALSE),"")</f>
        <v/>
      </c>
      <c r="Q253">
        <f t="shared" si="3"/>
        <v>0</v>
      </c>
    </row>
    <row r="254" spans="1:17">
      <c r="A254" t="s">
        <v>218</v>
      </c>
      <c r="B254" t="s">
        <v>826</v>
      </c>
      <c r="C254" t="str">
        <f>VLOOKUP(A254,Districts!A:I,9,FALSE)</f>
        <v>Franklin Phonetic Primary School, Inc</v>
      </c>
      <c r="D254" t="str">
        <f>VLOOKUP(A254,Districts!A:P,16,FALSE)</f>
        <v>KEG7NG4TZ355</v>
      </c>
      <c r="F254" s="1">
        <v>45200</v>
      </c>
      <c r="G254" t="s">
        <v>529</v>
      </c>
      <c r="H254" t="s">
        <v>530</v>
      </c>
      <c r="I254" s="59">
        <f>_xlfn.IFNA(VLOOKUP(A254,'619'!D:F,3,FALSE),0)</f>
        <v>1347.5</v>
      </c>
      <c r="J254" s="59">
        <f>_xlfn.IFNA(VLOOKUP(A254,'619'!D:Q,14,FALSE),0)</f>
        <v>1347.5</v>
      </c>
      <c r="K254" s="59">
        <f>_xlfn.IFNA(VLOOKUP(A254,'619'!D:Q,14,FALSE),0)</f>
        <v>1347.5</v>
      </c>
      <c r="O254" t="s">
        <v>531</v>
      </c>
      <c r="P254" t="str">
        <f>_xlfn.IFNA(VLOOKUP(A254,IndirectCost!B:L,11,FALSE),"")</f>
        <v/>
      </c>
      <c r="Q254">
        <f t="shared" si="3"/>
        <v>0</v>
      </c>
    </row>
    <row r="255" spans="1:17">
      <c r="A255" t="s">
        <v>219</v>
      </c>
      <c r="B255" t="s">
        <v>827</v>
      </c>
      <c r="C255" t="str">
        <f>VLOOKUP(A255,Districts!A:I,9,FALSE)</f>
        <v>Fredonia Moccasin School District 6</v>
      </c>
      <c r="D255" t="str">
        <f>VLOOKUP(A255,Districts!A:P,16,FALSE)</f>
        <v>FCLTEW55EKQ7</v>
      </c>
      <c r="F255" s="1">
        <v>45200</v>
      </c>
      <c r="G255" t="s">
        <v>529</v>
      </c>
      <c r="H255" t="s">
        <v>530</v>
      </c>
      <c r="I255" s="59">
        <f>_xlfn.IFNA(VLOOKUP(A255,'619'!D:F,3,FALSE),0)</f>
        <v>1163.0899999999999</v>
      </c>
      <c r="J255" s="59">
        <f>_xlfn.IFNA(VLOOKUP(A255,'619'!D:Q,14,FALSE),0)</f>
        <v>1348.42</v>
      </c>
      <c r="K255" s="59">
        <f>_xlfn.IFNA(VLOOKUP(A255,'619'!D:Q,14,FALSE),0)</f>
        <v>1348.42</v>
      </c>
      <c r="O255" t="s">
        <v>531</v>
      </c>
      <c r="P255">
        <f>_xlfn.IFNA(VLOOKUP(A255,IndirectCost!B:L,11,FALSE),"")</f>
        <v>8</v>
      </c>
      <c r="Q255">
        <f t="shared" si="3"/>
        <v>0.08</v>
      </c>
    </row>
    <row r="256" spans="1:17">
      <c r="A256" t="s">
        <v>220</v>
      </c>
      <c r="B256" t="s">
        <v>828</v>
      </c>
      <c r="C256" t="str">
        <f>VLOOKUP(A256,Districts!A:I,9,FALSE)</f>
        <v>Freedom Academy, Inc</v>
      </c>
      <c r="D256" t="str">
        <f>VLOOKUP(A256,Districts!A:P,16,FALSE)</f>
        <v>NUY5KS3ZCM48</v>
      </c>
      <c r="F256" s="1">
        <v>45200</v>
      </c>
      <c r="G256" t="s">
        <v>529</v>
      </c>
      <c r="H256" t="s">
        <v>530</v>
      </c>
      <c r="I256" s="59">
        <f>_xlfn.IFNA(VLOOKUP(A256,'619'!D:F,3,FALSE),0)</f>
        <v>635.29</v>
      </c>
      <c r="J256" s="59">
        <f>_xlfn.IFNA(VLOOKUP(A256,'619'!D:Q,14,FALSE),0)</f>
        <v>1403.49</v>
      </c>
      <c r="K256" s="59">
        <f>_xlfn.IFNA(VLOOKUP(A256,'619'!D:Q,14,FALSE),0)</f>
        <v>1403.49</v>
      </c>
      <c r="O256" t="s">
        <v>531</v>
      </c>
      <c r="P256" t="str">
        <f>_xlfn.IFNA(VLOOKUP(A256,IndirectCost!B:L,11,FALSE),"")</f>
        <v/>
      </c>
      <c r="Q256">
        <f t="shared" si="3"/>
        <v>0</v>
      </c>
    </row>
    <row r="257" spans="1:17">
      <c r="A257" t="s">
        <v>829</v>
      </c>
      <c r="B257" t="s">
        <v>830</v>
      </c>
      <c r="C257" t="str">
        <f>VLOOKUP(A257,Districts!A:I,9,FALSE)</f>
        <v>Freedom Prep Academy-Mesa</v>
      </c>
      <c r="D257" t="str">
        <f>VLOOKUP(A257,Districts!A:P,16,FALSE)</f>
        <v>CERASHBFUFJ3</v>
      </c>
      <c r="F257" s="1">
        <v>45200</v>
      </c>
      <c r="G257" t="s">
        <v>529</v>
      </c>
      <c r="H257" t="s">
        <v>530</v>
      </c>
      <c r="I257" s="59">
        <f>_xlfn.IFNA(VLOOKUP(A257,'619'!D:F,3,FALSE),0)</f>
        <v>0</v>
      </c>
      <c r="J257" s="59">
        <f>_xlfn.IFNA(VLOOKUP(A257,'619'!D:Q,14,FALSE),0)</f>
        <v>0</v>
      </c>
      <c r="K257" s="59">
        <f>_xlfn.IFNA(VLOOKUP(A257,'619'!D:Q,14,FALSE),0)</f>
        <v>0</v>
      </c>
      <c r="O257" t="s">
        <v>531</v>
      </c>
      <c r="P257">
        <f>_xlfn.IFNA(VLOOKUP(A257,IndirectCost!B:L,11,FALSE),"")</f>
        <v>0</v>
      </c>
      <c r="Q257">
        <f t="shared" si="3"/>
        <v>0</v>
      </c>
    </row>
    <row r="258" spans="1:17">
      <c r="A258" t="s">
        <v>221</v>
      </c>
      <c r="B258" t="s">
        <v>831</v>
      </c>
      <c r="C258" t="str">
        <f>VLOOKUP(A258,Districts!A:I,9,FALSE)</f>
        <v>Friendly House, Inc</v>
      </c>
      <c r="D258" t="str">
        <f>VLOOKUP(A258,Districts!A:P,16,FALSE)</f>
        <v>K7ZUGB5RLNN3</v>
      </c>
      <c r="F258" s="1">
        <v>45200</v>
      </c>
      <c r="G258" t="s">
        <v>529</v>
      </c>
      <c r="H258" t="s">
        <v>530</v>
      </c>
      <c r="I258" s="59">
        <f>_xlfn.IFNA(VLOOKUP(A258,'619'!D:F,3,FALSE),0)</f>
        <v>720.96</v>
      </c>
      <c r="J258" s="59">
        <f>_xlfn.IFNA(VLOOKUP(A258,'619'!D:Q,14,FALSE),0)</f>
        <v>840.2</v>
      </c>
      <c r="K258" s="59">
        <f>_xlfn.IFNA(VLOOKUP(A258,'619'!D:Q,14,FALSE),0)</f>
        <v>840.2</v>
      </c>
      <c r="O258" t="s">
        <v>531</v>
      </c>
      <c r="P258">
        <f>_xlfn.IFNA(VLOOKUP(A258,IndirectCost!B:L,11,FALSE),"")</f>
        <v>8</v>
      </c>
      <c r="Q258">
        <f t="shared" si="3"/>
        <v>0.08</v>
      </c>
    </row>
    <row r="259" spans="1:17">
      <c r="A259" t="s">
        <v>222</v>
      </c>
      <c r="B259" t="s">
        <v>832</v>
      </c>
      <c r="C259" t="str">
        <f>VLOOKUP(A259,Districts!A:I,9,FALSE)</f>
        <v>Gadsden Elementary School District #32</v>
      </c>
      <c r="D259" t="str">
        <f>VLOOKUP(A259,Districts!A:P,16,FALSE)</f>
        <v>WPK7HED7E1Z8</v>
      </c>
      <c r="F259" s="1">
        <v>45200</v>
      </c>
      <c r="G259" t="s">
        <v>529</v>
      </c>
      <c r="H259" t="s">
        <v>530</v>
      </c>
      <c r="I259" s="59">
        <f>_xlfn.IFNA(VLOOKUP(A259,'619'!D:F,3,FALSE),0)</f>
        <v>17643.71</v>
      </c>
      <c r="J259" s="59">
        <f>_xlfn.IFNA(VLOOKUP(A259,'619'!D:Q,14,FALSE),0)</f>
        <v>35585.47</v>
      </c>
      <c r="K259" s="59">
        <f>_xlfn.IFNA(VLOOKUP(A259,'619'!D:Q,14,FALSE),0)</f>
        <v>35585.47</v>
      </c>
      <c r="O259" t="s">
        <v>531</v>
      </c>
      <c r="P259">
        <f>_xlfn.IFNA(VLOOKUP(A259,IndirectCost!B:L,11,FALSE),"")</f>
        <v>4.22</v>
      </c>
      <c r="Q259">
        <f t="shared" si="3"/>
        <v>4.2199999999999994E-2</v>
      </c>
    </row>
    <row r="260" spans="1:17">
      <c r="A260" t="s">
        <v>223</v>
      </c>
      <c r="B260" t="s">
        <v>833</v>
      </c>
      <c r="C260" t="str">
        <f>VLOOKUP(A260,Districts!A:I,9,FALSE)</f>
        <v>Ganado Unified School District #20</v>
      </c>
      <c r="D260" t="str">
        <f>VLOOKUP(A260,Districts!A:P,16,FALSE)</f>
        <v>RYBGWRZ7MC53</v>
      </c>
      <c r="F260" s="1">
        <v>45200</v>
      </c>
      <c r="G260" t="s">
        <v>529</v>
      </c>
      <c r="H260" t="s">
        <v>530</v>
      </c>
      <c r="I260" s="59">
        <f>_xlfn.IFNA(VLOOKUP(A260,'619'!D:F,3,FALSE),0)</f>
        <v>7209.98</v>
      </c>
      <c r="J260" s="59">
        <f>_xlfn.IFNA(VLOOKUP(A260,'619'!D:Q,14,FALSE),0)</f>
        <v>14522.81</v>
      </c>
      <c r="K260" s="59">
        <f>_xlfn.IFNA(VLOOKUP(A260,'619'!D:Q,14,FALSE),0)</f>
        <v>14522.81</v>
      </c>
      <c r="O260" t="s">
        <v>531</v>
      </c>
      <c r="P260">
        <f>_xlfn.IFNA(VLOOKUP(A260,IndirectCost!B:L,11,FALSE),"")</f>
        <v>8</v>
      </c>
      <c r="Q260">
        <f t="shared" ref="Q260:Q323" si="4">IFERROR(P260/100,0)</f>
        <v>0.08</v>
      </c>
    </row>
    <row r="261" spans="1:17">
      <c r="A261" t="s">
        <v>224</v>
      </c>
      <c r="B261" t="s">
        <v>834</v>
      </c>
      <c r="C261" t="str">
        <f>VLOOKUP(A261,Districts!A:I,9,FALSE)</f>
        <v>GEM Charter School, Inc.</v>
      </c>
      <c r="D261" t="str">
        <f>VLOOKUP(A261,Districts!A:P,16,FALSE)</f>
        <v>JNKEM5NRNBH5</v>
      </c>
      <c r="F261" s="1">
        <v>45200</v>
      </c>
      <c r="G261" t="s">
        <v>529</v>
      </c>
      <c r="H261" t="s">
        <v>530</v>
      </c>
      <c r="I261" s="59">
        <f>_xlfn.IFNA(VLOOKUP(A261,'619'!D:F,3,FALSE),0)</f>
        <v>638</v>
      </c>
      <c r="J261" s="59">
        <f>_xlfn.IFNA(VLOOKUP(A261,'619'!D:Q,14,FALSE),0)</f>
        <v>0</v>
      </c>
      <c r="K261" s="59">
        <f>_xlfn.IFNA(VLOOKUP(A261,'619'!D:Q,14,FALSE),0)</f>
        <v>0</v>
      </c>
      <c r="O261" t="s">
        <v>531</v>
      </c>
      <c r="P261" t="str">
        <f>_xlfn.IFNA(VLOOKUP(A261,IndirectCost!B:L,11,FALSE),"")</f>
        <v/>
      </c>
      <c r="Q261">
        <f t="shared" si="4"/>
        <v>0</v>
      </c>
    </row>
    <row r="262" spans="1:17">
      <c r="A262" t="s">
        <v>835</v>
      </c>
      <c r="B262" t="s">
        <v>836</v>
      </c>
      <c r="C262" t="str">
        <f>VLOOKUP(A262,Districts!A:I,9,FALSE)</f>
        <v>Genesis Program, Inc.</v>
      </c>
      <c r="D262" t="str">
        <f>VLOOKUP(A262,Districts!A:P,16,FALSE)</f>
        <v>HJERKRSYMPA1</v>
      </c>
      <c r="F262" s="1">
        <v>45200</v>
      </c>
      <c r="G262" t="s">
        <v>529</v>
      </c>
      <c r="H262" t="s">
        <v>530</v>
      </c>
      <c r="I262" s="59">
        <f>_xlfn.IFNA(VLOOKUP(A262,'619'!D:F,3,FALSE),0)</f>
        <v>0</v>
      </c>
      <c r="J262" s="59">
        <f>_xlfn.IFNA(VLOOKUP(A262,'619'!D:Q,14,FALSE),0)</f>
        <v>0</v>
      </c>
      <c r="K262" s="59">
        <f>_xlfn.IFNA(VLOOKUP(A262,'619'!D:Q,14,FALSE),0)</f>
        <v>0</v>
      </c>
      <c r="O262" t="s">
        <v>531</v>
      </c>
      <c r="P262" t="str">
        <f>_xlfn.IFNA(VLOOKUP(A262,IndirectCost!B:L,11,FALSE),"")</f>
        <v/>
      </c>
      <c r="Q262">
        <f t="shared" si="4"/>
        <v>0</v>
      </c>
    </row>
    <row r="263" spans="1:17">
      <c r="A263" t="s">
        <v>225</v>
      </c>
      <c r="B263" t="s">
        <v>837</v>
      </c>
      <c r="C263" t="str">
        <f>VLOOKUP(A263,Districts!A:I,9,FALSE)</f>
        <v>George Gervin Youth Center Inc</v>
      </c>
      <c r="D263" t="str">
        <f>VLOOKUP(A263,Districts!A:P,16,FALSE)</f>
        <v>PAEJCHJAMLU5</v>
      </c>
      <c r="F263" s="1">
        <v>45200</v>
      </c>
      <c r="G263" t="s">
        <v>529</v>
      </c>
      <c r="H263" t="s">
        <v>530</v>
      </c>
      <c r="I263" s="59">
        <f>_xlfn.IFNA(VLOOKUP(A263,'619'!D:F,3,FALSE),0)</f>
        <v>372.98</v>
      </c>
      <c r="J263" s="59">
        <f>_xlfn.IFNA(VLOOKUP(A263,'619'!D:Q,14,FALSE),0)</f>
        <v>522.23</v>
      </c>
      <c r="K263" s="59">
        <f>_xlfn.IFNA(VLOOKUP(A263,'619'!D:Q,14,FALSE),0)</f>
        <v>522.23</v>
      </c>
      <c r="O263" t="s">
        <v>531</v>
      </c>
      <c r="P263" t="str">
        <f>_xlfn.IFNA(VLOOKUP(A263,IndirectCost!B:L,11,FALSE),"")</f>
        <v/>
      </c>
      <c r="Q263">
        <f t="shared" si="4"/>
        <v>0</v>
      </c>
    </row>
    <row r="264" spans="1:17">
      <c r="A264" t="s">
        <v>226</v>
      </c>
      <c r="B264" t="s">
        <v>838</v>
      </c>
      <c r="C264" t="str">
        <f>VLOOKUP(A264,Districts!A:I,9,FALSE)</f>
        <v>Gila Bend Unified District School District</v>
      </c>
      <c r="D264" t="str">
        <f>VLOOKUP(A264,Districts!A:P,16,FALSE)</f>
        <v>ZZVSE4D394J9</v>
      </c>
      <c r="F264" s="1">
        <v>45200</v>
      </c>
      <c r="G264" t="s">
        <v>529</v>
      </c>
      <c r="H264" t="s">
        <v>530</v>
      </c>
      <c r="I264" s="59">
        <f>_xlfn.IFNA(VLOOKUP(A264,'619'!D:F,3,FALSE),0)</f>
        <v>625.30999999999995</v>
      </c>
      <c r="J264" s="59">
        <f>_xlfn.IFNA(VLOOKUP(A264,'619'!D:Q,14,FALSE),0)</f>
        <v>722.07</v>
      </c>
      <c r="K264" s="59">
        <f>_xlfn.IFNA(VLOOKUP(A264,'619'!D:Q,14,FALSE),0)</f>
        <v>722.07</v>
      </c>
      <c r="O264" t="s">
        <v>531</v>
      </c>
      <c r="P264">
        <f>_xlfn.IFNA(VLOOKUP(A264,IndirectCost!B:L,11,FALSE),"")</f>
        <v>8</v>
      </c>
      <c r="Q264">
        <f t="shared" si="4"/>
        <v>0.08</v>
      </c>
    </row>
    <row r="265" spans="1:17">
      <c r="A265" t="s">
        <v>839</v>
      </c>
      <c r="B265" t="s">
        <v>840</v>
      </c>
      <c r="C265" t="str">
        <f>VLOOKUP(A265,Districts!A:I,9,FALSE)</f>
        <v>GILA COUNTY REGIONAL SCHOOL DISTRICT</v>
      </c>
      <c r="D265" t="str">
        <f>VLOOKUP(A265,Districts!A:P,16,FALSE)</f>
        <v>K2P3YL7Z2W13</v>
      </c>
      <c r="F265" s="1">
        <v>45200</v>
      </c>
      <c r="G265" t="s">
        <v>529</v>
      </c>
      <c r="H265" t="s">
        <v>530</v>
      </c>
      <c r="I265" s="59">
        <f>_xlfn.IFNA(VLOOKUP(A265,'619'!D:F,3,FALSE),0)</f>
        <v>0</v>
      </c>
      <c r="J265" s="59">
        <f>_xlfn.IFNA(VLOOKUP(A265,'619'!D:Q,14,FALSE),0)</f>
        <v>0</v>
      </c>
      <c r="K265" s="59">
        <f>_xlfn.IFNA(VLOOKUP(A265,'619'!D:Q,14,FALSE),0)</f>
        <v>0</v>
      </c>
      <c r="O265" t="s">
        <v>531</v>
      </c>
      <c r="P265">
        <f>_xlfn.IFNA(VLOOKUP(A265,IndirectCost!B:L,11,FALSE),"")</f>
        <v>8</v>
      </c>
      <c r="Q265">
        <f t="shared" si="4"/>
        <v>0.08</v>
      </c>
    </row>
    <row r="266" spans="1:17">
      <c r="A266" t="s">
        <v>841</v>
      </c>
      <c r="B266" t="s">
        <v>842</v>
      </c>
      <c r="C266" t="str">
        <f>VLOOKUP(A266,Districts!A:I,9,FALSE)</f>
        <v>GILA COUNTY, AZ</v>
      </c>
      <c r="D266">
        <f>VLOOKUP(A266,Districts!A:P,16,FALSE)</f>
        <v>0</v>
      </c>
      <c r="F266" s="1">
        <v>45200</v>
      </c>
      <c r="G266" t="s">
        <v>529</v>
      </c>
      <c r="H266" t="s">
        <v>530</v>
      </c>
      <c r="I266" s="59">
        <f>_xlfn.IFNA(VLOOKUP(A266,'619'!D:F,3,FALSE),0)</f>
        <v>0</v>
      </c>
      <c r="J266" s="59">
        <f>_xlfn.IFNA(VLOOKUP(A266,'619'!D:Q,14,FALSE),0)</f>
        <v>0</v>
      </c>
      <c r="K266" s="59">
        <f>_xlfn.IFNA(VLOOKUP(A266,'619'!D:Q,14,FALSE),0)</f>
        <v>0</v>
      </c>
      <c r="O266" t="s">
        <v>531</v>
      </c>
      <c r="P266" t="str">
        <f>_xlfn.IFNA(VLOOKUP(A266,IndirectCost!B:L,11,FALSE),"")</f>
        <v/>
      </c>
      <c r="Q266">
        <f t="shared" si="4"/>
        <v>0</v>
      </c>
    </row>
    <row r="267" spans="1:17">
      <c r="A267" t="s">
        <v>227</v>
      </c>
      <c r="B267" t="s">
        <v>843</v>
      </c>
      <c r="C267" t="str">
        <f>VLOOKUP(A267,Districts!A:I,9,FALSE)</f>
        <v>Gilbert Unified School District</v>
      </c>
      <c r="D267" t="str">
        <f>VLOOKUP(A267,Districts!A:P,16,FALSE)</f>
        <v>KECWJMSLJEA5</v>
      </c>
      <c r="F267" s="1">
        <v>45200</v>
      </c>
      <c r="G267" t="s">
        <v>529</v>
      </c>
      <c r="H267" t="s">
        <v>530</v>
      </c>
      <c r="I267" s="59">
        <f>_xlfn.IFNA(VLOOKUP(A267,'619'!D:F,3,FALSE),0)</f>
        <v>172203.73</v>
      </c>
      <c r="J267" s="59">
        <f>_xlfn.IFNA(VLOOKUP(A267,'619'!D:Q,14,FALSE),0)</f>
        <v>260820.18</v>
      </c>
      <c r="K267" s="59">
        <f>_xlfn.IFNA(VLOOKUP(A267,'619'!D:Q,14,FALSE),0)</f>
        <v>260820.18</v>
      </c>
      <c r="O267" t="s">
        <v>531</v>
      </c>
      <c r="P267">
        <f>_xlfn.IFNA(VLOOKUP(A267,IndirectCost!B:L,11,FALSE),"")</f>
        <v>3.43</v>
      </c>
      <c r="Q267">
        <f t="shared" si="4"/>
        <v>3.4300000000000004E-2</v>
      </c>
    </row>
    <row r="268" spans="1:17">
      <c r="A268" t="s">
        <v>228</v>
      </c>
      <c r="B268" t="s">
        <v>844</v>
      </c>
      <c r="C268" t="str">
        <f>VLOOKUP(A268,Districts!A:I,9,FALSE)</f>
        <v>Glen Canyon Outdoor Academy</v>
      </c>
      <c r="D268" t="str">
        <f>VLOOKUP(A268,Districts!A:P,16,FALSE)</f>
        <v>WRVCJA18EN23</v>
      </c>
      <c r="F268" s="1">
        <v>45200</v>
      </c>
      <c r="G268" t="s">
        <v>529</v>
      </c>
      <c r="H268" t="s">
        <v>530</v>
      </c>
      <c r="I268" s="59">
        <f>_xlfn.IFNA(VLOOKUP(A268,'619'!D:F,3,FALSE),0)</f>
        <v>899.1</v>
      </c>
      <c r="J268" s="59">
        <f>_xlfn.IFNA(VLOOKUP(A268,'619'!D:Q,14,FALSE),0)</f>
        <v>899.1</v>
      </c>
      <c r="K268" s="59">
        <f>_xlfn.IFNA(VLOOKUP(A268,'619'!D:Q,14,FALSE),0)</f>
        <v>899.1</v>
      </c>
      <c r="O268" t="s">
        <v>531</v>
      </c>
      <c r="P268">
        <f>_xlfn.IFNA(VLOOKUP(A268,IndirectCost!B:L,11,FALSE),"")</f>
        <v>0</v>
      </c>
      <c r="Q268">
        <f t="shared" si="4"/>
        <v>0</v>
      </c>
    </row>
    <row r="269" spans="1:17">
      <c r="A269" t="s">
        <v>229</v>
      </c>
      <c r="B269" t="s">
        <v>845</v>
      </c>
      <c r="C269" t="str">
        <f>VLOOKUP(A269,Districts!A:I,9,FALSE)</f>
        <v>Glendale Elementary School District</v>
      </c>
      <c r="D269" t="str">
        <f>VLOOKUP(A269,Districts!A:P,16,FALSE)</f>
        <v>HK2MBQAZNAR2</v>
      </c>
      <c r="F269" s="1">
        <v>45200</v>
      </c>
      <c r="G269" t="s">
        <v>529</v>
      </c>
      <c r="H269" t="s">
        <v>530</v>
      </c>
      <c r="I269" s="59">
        <f>_xlfn.IFNA(VLOOKUP(A269,'619'!D:F,3,FALSE),0)</f>
        <v>74956.259999999995</v>
      </c>
      <c r="J269" s="59">
        <f>_xlfn.IFNA(VLOOKUP(A269,'619'!D:Q,14,FALSE),0)</f>
        <v>101827.48</v>
      </c>
      <c r="K269" s="59">
        <f>_xlfn.IFNA(VLOOKUP(A269,'619'!D:Q,14,FALSE),0)</f>
        <v>101827.48</v>
      </c>
      <c r="O269" t="s">
        <v>531</v>
      </c>
      <c r="P269">
        <f>_xlfn.IFNA(VLOOKUP(A269,IndirectCost!B:L,11,FALSE),"")</f>
        <v>8</v>
      </c>
      <c r="Q269">
        <f t="shared" si="4"/>
        <v>0.08</v>
      </c>
    </row>
    <row r="270" spans="1:17">
      <c r="A270" t="s">
        <v>846</v>
      </c>
      <c r="B270" t="s">
        <v>847</v>
      </c>
      <c r="C270" t="str">
        <f>VLOOKUP(A270,Districts!A:I,9,FALSE)</f>
        <v>Glendale Preparatory Academy</v>
      </c>
      <c r="D270" t="str">
        <f>VLOOKUP(A270,Districts!A:P,16,FALSE)</f>
        <v>TAU5MNKZSPN5</v>
      </c>
      <c r="F270" s="1">
        <v>45200</v>
      </c>
      <c r="G270" t="s">
        <v>529</v>
      </c>
      <c r="H270" t="s">
        <v>530</v>
      </c>
      <c r="I270" s="59">
        <f>_xlfn.IFNA(VLOOKUP(A270,'619'!D:F,3,FALSE),0)</f>
        <v>0</v>
      </c>
      <c r="J270" s="59">
        <f>_xlfn.IFNA(VLOOKUP(A270,'619'!D:Q,14,FALSE),0)</f>
        <v>0</v>
      </c>
      <c r="K270" s="59">
        <f>_xlfn.IFNA(VLOOKUP(A270,'619'!D:Q,14,FALSE),0)</f>
        <v>0</v>
      </c>
      <c r="O270" t="s">
        <v>531</v>
      </c>
      <c r="P270">
        <f>_xlfn.IFNA(VLOOKUP(A270,IndirectCost!B:L,11,FALSE),"")</f>
        <v>8</v>
      </c>
      <c r="Q270">
        <f t="shared" si="4"/>
        <v>0.08</v>
      </c>
    </row>
    <row r="271" spans="1:17">
      <c r="A271" t="s">
        <v>230</v>
      </c>
      <c r="B271" t="s">
        <v>848</v>
      </c>
      <c r="C271" t="str">
        <f>VLOOKUP(A271,Districts!A:I,9,FALSE)</f>
        <v>Glendale Union High School District</v>
      </c>
      <c r="D271" t="str">
        <f>VLOOKUP(A271,Districts!A:P,16,FALSE)</f>
        <v>LHKDPA3LHNM8</v>
      </c>
      <c r="F271" s="1">
        <v>45200</v>
      </c>
      <c r="G271" t="s">
        <v>529</v>
      </c>
      <c r="H271" t="s">
        <v>530</v>
      </c>
      <c r="I271" s="59">
        <f>_xlfn.IFNA(VLOOKUP(A271,'619'!D:F,3,FALSE),0)</f>
        <v>380.54</v>
      </c>
      <c r="J271" s="59">
        <f>_xlfn.IFNA(VLOOKUP(A271,'619'!D:Q,14,FALSE),0)</f>
        <v>0</v>
      </c>
      <c r="K271" s="59">
        <f>_xlfn.IFNA(VLOOKUP(A271,'619'!D:Q,14,FALSE),0)</f>
        <v>0</v>
      </c>
      <c r="O271" t="s">
        <v>531</v>
      </c>
      <c r="P271">
        <f>_xlfn.IFNA(VLOOKUP(A271,IndirectCost!B:L,11,FALSE),"")</f>
        <v>2.4</v>
      </c>
      <c r="Q271">
        <f t="shared" si="4"/>
        <v>2.4E-2</v>
      </c>
    </row>
    <row r="272" spans="1:17">
      <c r="A272" t="s">
        <v>231</v>
      </c>
      <c r="B272" t="s">
        <v>849</v>
      </c>
      <c r="C272" t="str">
        <f>VLOOKUP(A272,Districts!A:I,9,FALSE)</f>
        <v>GLOBE UNIFIED SCHOOL DISTRICT</v>
      </c>
      <c r="D272" t="str">
        <f>VLOOKUP(A272,Districts!A:P,16,FALSE)</f>
        <v>NN1SZL9D48M9</v>
      </c>
      <c r="F272" s="1">
        <v>45200</v>
      </c>
      <c r="G272" t="s">
        <v>529</v>
      </c>
      <c r="H272" t="s">
        <v>530</v>
      </c>
      <c r="I272" s="59">
        <f>_xlfn.IFNA(VLOOKUP(A272,'619'!D:F,3,FALSE),0)</f>
        <v>9751.0400000000009</v>
      </c>
      <c r="J272" s="59">
        <f>_xlfn.IFNA(VLOOKUP(A272,'619'!D:Q,14,FALSE),0)</f>
        <v>18196.560000000001</v>
      </c>
      <c r="K272" s="59">
        <f>_xlfn.IFNA(VLOOKUP(A272,'619'!D:Q,14,FALSE),0)</f>
        <v>18196.560000000001</v>
      </c>
      <c r="O272" t="s">
        <v>531</v>
      </c>
      <c r="P272">
        <f>_xlfn.IFNA(VLOOKUP(A272,IndirectCost!B:L,11,FALSE),"")</f>
        <v>8</v>
      </c>
      <c r="Q272">
        <f t="shared" si="4"/>
        <v>0.08</v>
      </c>
    </row>
    <row r="273" spans="1:17">
      <c r="A273" t="s">
        <v>850</v>
      </c>
      <c r="B273" t="s">
        <v>851</v>
      </c>
      <c r="C273" t="str">
        <f>VLOOKUP(A273,Districts!A:I,9,FALSE)</f>
        <v>Graham, County of</v>
      </c>
      <c r="D273" t="str">
        <f>VLOOKUP(A273,Districts!A:P,16,FALSE)</f>
        <v>NUU1FSZDY653</v>
      </c>
      <c r="F273" s="1">
        <v>45200</v>
      </c>
      <c r="G273" t="s">
        <v>529</v>
      </c>
      <c r="H273" t="s">
        <v>530</v>
      </c>
      <c r="I273" s="59">
        <f>_xlfn.IFNA(VLOOKUP(A273,'619'!D:F,3,FALSE),0)</f>
        <v>0</v>
      </c>
      <c r="J273" s="59">
        <f>_xlfn.IFNA(VLOOKUP(A273,'619'!D:Q,14,FALSE),0)</f>
        <v>0</v>
      </c>
      <c r="K273" s="59">
        <f>_xlfn.IFNA(VLOOKUP(A273,'619'!D:Q,14,FALSE),0)</f>
        <v>0</v>
      </c>
      <c r="O273" t="s">
        <v>531</v>
      </c>
      <c r="P273" t="str">
        <f>_xlfn.IFNA(VLOOKUP(A273,IndirectCost!B:L,11,FALSE),"")</f>
        <v/>
      </c>
      <c r="Q273">
        <f t="shared" si="4"/>
        <v>0</v>
      </c>
    </row>
    <row r="274" spans="1:17">
      <c r="A274" t="s">
        <v>232</v>
      </c>
      <c r="B274" t="s">
        <v>852</v>
      </c>
      <c r="C274" t="str">
        <f>VLOOKUP(A274,Districts!A:I,9,FALSE)</f>
        <v>Grand Canyon Unified School District 4</v>
      </c>
      <c r="D274" t="str">
        <f>VLOOKUP(A274,Districts!A:P,16,FALSE)</f>
        <v>CZFBSA1JCGB3</v>
      </c>
      <c r="F274" s="1">
        <v>45200</v>
      </c>
      <c r="G274" t="s">
        <v>529</v>
      </c>
      <c r="H274" t="s">
        <v>530</v>
      </c>
      <c r="I274" s="59">
        <f>_xlfn.IFNA(VLOOKUP(A274,'619'!D:F,3,FALSE),0)</f>
        <v>1231.94</v>
      </c>
      <c r="J274" s="59">
        <f>_xlfn.IFNA(VLOOKUP(A274,'619'!D:Q,14,FALSE),0)</f>
        <v>1231.94</v>
      </c>
      <c r="K274" s="59">
        <f>_xlfn.IFNA(VLOOKUP(A274,'619'!D:Q,14,FALSE),0)</f>
        <v>1231.94</v>
      </c>
      <c r="O274" t="s">
        <v>531</v>
      </c>
      <c r="P274">
        <f>_xlfn.IFNA(VLOOKUP(A274,IndirectCost!B:L,11,FALSE),"")</f>
        <v>0</v>
      </c>
      <c r="Q274">
        <f t="shared" si="4"/>
        <v>0</v>
      </c>
    </row>
    <row r="275" spans="1:17">
      <c r="A275" t="s">
        <v>233</v>
      </c>
      <c r="B275" t="s">
        <v>853</v>
      </c>
      <c r="C275" t="str">
        <f>VLOOKUP(A275,Districts!A:I,9,FALSE)</f>
        <v>Great Expectations Academy Inc</v>
      </c>
      <c r="D275" t="str">
        <f>VLOOKUP(A275,Districts!A:P,16,FALSE)</f>
        <v>NP4CLKNUULL3</v>
      </c>
      <c r="F275" s="1">
        <v>45200</v>
      </c>
      <c r="G275" t="s">
        <v>529</v>
      </c>
      <c r="H275" t="s">
        <v>530</v>
      </c>
      <c r="I275" s="59">
        <f>_xlfn.IFNA(VLOOKUP(A275,'619'!D:F,3,FALSE),0)</f>
        <v>495.96</v>
      </c>
      <c r="J275" s="59">
        <f>_xlfn.IFNA(VLOOKUP(A275,'619'!D:Q,14,FALSE),0)</f>
        <v>495.96</v>
      </c>
      <c r="K275" s="59">
        <f>_xlfn.IFNA(VLOOKUP(A275,'619'!D:Q,14,FALSE),0)</f>
        <v>495.96</v>
      </c>
      <c r="O275" t="s">
        <v>531</v>
      </c>
      <c r="P275" t="str">
        <f>_xlfn.IFNA(VLOOKUP(A275,IndirectCost!B:L,11,FALSE),"")</f>
        <v/>
      </c>
      <c r="Q275">
        <f t="shared" si="4"/>
        <v>0</v>
      </c>
    </row>
    <row r="276" spans="1:17">
      <c r="A276" t="s">
        <v>234</v>
      </c>
      <c r="B276" t="s">
        <v>854</v>
      </c>
      <c r="C276" t="str">
        <f>VLOOKUP(A276,Districts!A:I,9,FALSE)</f>
        <v>Griffin Foundation</v>
      </c>
      <c r="D276" t="str">
        <f>VLOOKUP(A276,Districts!A:P,16,FALSE)</f>
        <v>M5YXTL74BDG5</v>
      </c>
      <c r="F276" s="1">
        <v>45200</v>
      </c>
      <c r="G276" t="s">
        <v>529</v>
      </c>
      <c r="H276" t="s">
        <v>530</v>
      </c>
      <c r="I276" s="59">
        <f>_xlfn.IFNA(VLOOKUP(A276,'619'!D:F,3,FALSE),0)</f>
        <v>461.4</v>
      </c>
      <c r="J276" s="59">
        <f>_xlfn.IFNA(VLOOKUP(A276,'619'!D:Q,14,FALSE),0)</f>
        <v>461.4</v>
      </c>
      <c r="K276" s="59">
        <f>_xlfn.IFNA(VLOOKUP(A276,'619'!D:Q,14,FALSE),0)</f>
        <v>461.4</v>
      </c>
      <c r="O276" t="s">
        <v>531</v>
      </c>
      <c r="P276">
        <f>_xlfn.IFNA(VLOOKUP(A276,IndirectCost!B:L,11,FALSE),"")</f>
        <v>0</v>
      </c>
      <c r="Q276">
        <f t="shared" si="4"/>
        <v>0</v>
      </c>
    </row>
    <row r="277" spans="1:17">
      <c r="A277" t="s">
        <v>855</v>
      </c>
      <c r="B277" t="s">
        <v>856</v>
      </c>
      <c r="C277" t="str">
        <f>VLOOKUP(A277,Districts!A:I,9,FALSE)</f>
        <v>HA:SAN EDUCATIONAL SERVICES INC.</v>
      </c>
      <c r="D277" t="str">
        <f>VLOOKUP(A277,Districts!A:P,16,FALSE)</f>
        <v>XY12DMP29WL3</v>
      </c>
      <c r="F277" s="1">
        <v>45200</v>
      </c>
      <c r="G277" t="s">
        <v>529</v>
      </c>
      <c r="H277" t="s">
        <v>530</v>
      </c>
      <c r="I277" s="59">
        <f>_xlfn.IFNA(VLOOKUP(A277,'619'!D:F,3,FALSE),0)</f>
        <v>0</v>
      </c>
      <c r="J277" s="59">
        <f>_xlfn.IFNA(VLOOKUP(A277,'619'!D:Q,14,FALSE),0)</f>
        <v>0</v>
      </c>
      <c r="K277" s="59">
        <f>_xlfn.IFNA(VLOOKUP(A277,'619'!D:Q,14,FALSE),0)</f>
        <v>0</v>
      </c>
      <c r="O277" t="s">
        <v>531</v>
      </c>
      <c r="P277" t="str">
        <f>_xlfn.IFNA(VLOOKUP(A277,IndirectCost!B:L,11,FALSE),"")</f>
        <v/>
      </c>
      <c r="Q277">
        <f t="shared" si="4"/>
        <v>0</v>
      </c>
    </row>
    <row r="278" spans="1:17">
      <c r="A278" t="s">
        <v>235</v>
      </c>
      <c r="B278" t="s">
        <v>857</v>
      </c>
      <c r="C278" t="str">
        <f>VLOOKUP(A278,Districts!A:I,9,FALSE)</f>
        <v>Hackberry School District 3</v>
      </c>
      <c r="D278" t="str">
        <f>VLOOKUP(A278,Districts!A:P,16,FALSE)</f>
        <v>J9KWJSYFQJ26</v>
      </c>
      <c r="F278" s="1">
        <v>45200</v>
      </c>
      <c r="G278" t="s">
        <v>529</v>
      </c>
      <c r="H278" t="s">
        <v>530</v>
      </c>
      <c r="I278" s="59">
        <f>_xlfn.IFNA(VLOOKUP(A278,'619'!D:F,3,FALSE),0)</f>
        <v>358.85</v>
      </c>
      <c r="J278" s="59">
        <f>_xlfn.IFNA(VLOOKUP(A278,'619'!D:Q,14,FALSE),0)</f>
        <v>358.85</v>
      </c>
      <c r="K278" s="59">
        <f>_xlfn.IFNA(VLOOKUP(A278,'619'!D:Q,14,FALSE),0)</f>
        <v>358.85</v>
      </c>
      <c r="O278" t="s">
        <v>531</v>
      </c>
      <c r="P278">
        <f>_xlfn.IFNA(VLOOKUP(A278,IndirectCost!B:L,11,FALSE),"")</f>
        <v>8</v>
      </c>
      <c r="Q278">
        <f t="shared" si="4"/>
        <v>0.08</v>
      </c>
    </row>
    <row r="279" spans="1:17">
      <c r="A279" t="s">
        <v>236</v>
      </c>
      <c r="B279" t="s">
        <v>858</v>
      </c>
      <c r="C279" t="str">
        <f>VLOOKUP(A279,Districts!A:I,9,FALSE)</f>
        <v>Happy Valley East</v>
      </c>
      <c r="D279" t="str">
        <f>VLOOKUP(A279,Districts!A:P,16,FALSE)</f>
        <v>YB4XFKK8A5K8</v>
      </c>
      <c r="F279" s="1">
        <v>45200</v>
      </c>
      <c r="G279" t="s">
        <v>529</v>
      </c>
      <c r="H279" t="s">
        <v>530</v>
      </c>
      <c r="I279" s="59">
        <f>_xlfn.IFNA(VLOOKUP(A279,'619'!D:F,3,FALSE),0)</f>
        <v>403.6</v>
      </c>
      <c r="J279" s="59">
        <f>_xlfn.IFNA(VLOOKUP(A279,'619'!D:Q,14,FALSE),0)</f>
        <v>403.6</v>
      </c>
      <c r="K279" s="59">
        <f>_xlfn.IFNA(VLOOKUP(A279,'619'!D:Q,14,FALSE),0)</f>
        <v>403.6</v>
      </c>
      <c r="O279" t="s">
        <v>531</v>
      </c>
      <c r="P279" t="str">
        <f>_xlfn.IFNA(VLOOKUP(A279,IndirectCost!B:L,11,FALSE),"")</f>
        <v/>
      </c>
      <c r="Q279">
        <f t="shared" si="4"/>
        <v>0</v>
      </c>
    </row>
    <row r="280" spans="1:17">
      <c r="A280" t="s">
        <v>237</v>
      </c>
      <c r="B280" t="s">
        <v>859</v>
      </c>
      <c r="C280" t="str">
        <f>VLOOKUP(A280,Districts!A:I,9,FALSE)</f>
        <v>Happy Valley School, Inc.</v>
      </c>
      <c r="D280" t="str">
        <f>VLOOKUP(A280,Districts!A:P,16,FALSE)</f>
        <v>UNZGKZMH8G61</v>
      </c>
      <c r="F280" s="1">
        <v>45200</v>
      </c>
      <c r="G280" t="s">
        <v>529</v>
      </c>
      <c r="H280" t="s">
        <v>530</v>
      </c>
      <c r="I280" s="59">
        <f>_xlfn.IFNA(VLOOKUP(A280,'619'!D:F,3,FALSE),0)</f>
        <v>1617.09</v>
      </c>
      <c r="J280" s="59">
        <f>_xlfn.IFNA(VLOOKUP(A280,'619'!D:Q,14,FALSE),0)</f>
        <v>1617.09</v>
      </c>
      <c r="K280" s="59">
        <f>_xlfn.IFNA(VLOOKUP(A280,'619'!D:Q,14,FALSE),0)</f>
        <v>1617.09</v>
      </c>
      <c r="O280" t="s">
        <v>531</v>
      </c>
      <c r="P280" t="str">
        <f>_xlfn.IFNA(VLOOKUP(A280,IndirectCost!B:L,11,FALSE),"")</f>
        <v/>
      </c>
      <c r="Q280">
        <f t="shared" si="4"/>
        <v>0</v>
      </c>
    </row>
    <row r="281" spans="1:17">
      <c r="A281" t="s">
        <v>238</v>
      </c>
      <c r="B281" t="s">
        <v>860</v>
      </c>
      <c r="C281" t="str">
        <f>VLOOKUP(A281,Districts!A:I,9,FALSE)</f>
        <v>Harvest Power Community Development Group</v>
      </c>
      <c r="D281" t="str">
        <f>VLOOKUP(A281,Districts!A:P,16,FALSE)</f>
        <v>XR7KRJABAAD8</v>
      </c>
      <c r="F281" s="1">
        <v>45200</v>
      </c>
      <c r="G281" t="s">
        <v>529</v>
      </c>
      <c r="H281" t="s">
        <v>530</v>
      </c>
      <c r="I281" s="59">
        <f>_xlfn.IFNA(VLOOKUP(A281,'619'!D:F,3,FALSE),0)</f>
        <v>1283.3599999999999</v>
      </c>
      <c r="J281" s="59">
        <f>_xlfn.IFNA(VLOOKUP(A281,'619'!D:Q,14,FALSE),0)</f>
        <v>0</v>
      </c>
      <c r="K281" s="59">
        <f>_xlfn.IFNA(VLOOKUP(A281,'619'!D:Q,14,FALSE),0)</f>
        <v>0</v>
      </c>
      <c r="O281" t="s">
        <v>531</v>
      </c>
      <c r="P281" t="str">
        <f>_xlfn.IFNA(VLOOKUP(A281,IndirectCost!B:L,11,FALSE),"")</f>
        <v/>
      </c>
      <c r="Q281">
        <f t="shared" si="4"/>
        <v>0</v>
      </c>
    </row>
    <row r="282" spans="1:17">
      <c r="A282" t="s">
        <v>239</v>
      </c>
      <c r="B282" t="s">
        <v>861</v>
      </c>
      <c r="C282" t="str">
        <f>VLOOKUP(A282,Districts!A:I,9,FALSE)</f>
        <v>Haven Montessori Children's House, Inc.</v>
      </c>
      <c r="D282" t="str">
        <f>VLOOKUP(A282,Districts!A:P,16,FALSE)</f>
        <v>MN13N1EE2PZ9</v>
      </c>
      <c r="F282" s="1">
        <v>45200</v>
      </c>
      <c r="G282" t="s">
        <v>529</v>
      </c>
      <c r="H282" t="s">
        <v>530</v>
      </c>
      <c r="I282" s="59">
        <f>_xlfn.IFNA(VLOOKUP(A282,'619'!D:F,3,FALSE),0)</f>
        <v>468</v>
      </c>
      <c r="J282" s="59">
        <f>_xlfn.IFNA(VLOOKUP(A282,'619'!D:Q,14,FALSE),0)</f>
        <v>468</v>
      </c>
      <c r="K282" s="59">
        <f>_xlfn.IFNA(VLOOKUP(A282,'619'!D:Q,14,FALSE),0)</f>
        <v>468</v>
      </c>
      <c r="O282" t="s">
        <v>531</v>
      </c>
      <c r="P282" t="str">
        <f>_xlfn.IFNA(VLOOKUP(A282,IndirectCost!B:L,11,FALSE),"")</f>
        <v/>
      </c>
      <c r="Q282">
        <f t="shared" si="4"/>
        <v>0</v>
      </c>
    </row>
    <row r="283" spans="1:17">
      <c r="A283" t="s">
        <v>240</v>
      </c>
      <c r="B283" t="s">
        <v>862</v>
      </c>
      <c r="C283" t="str">
        <f>VLOOKUP(A283,Districts!A:I,9,FALSE)</f>
        <v>Hayden-Winkelman Unified School District</v>
      </c>
      <c r="D283" t="str">
        <f>VLOOKUP(A283,Districts!A:P,16,FALSE)</f>
        <v>VJ4KJEDF1563</v>
      </c>
      <c r="F283" s="1">
        <v>45200</v>
      </c>
      <c r="G283" t="s">
        <v>529</v>
      </c>
      <c r="H283" t="s">
        <v>530</v>
      </c>
      <c r="I283" s="59">
        <f>_xlfn.IFNA(VLOOKUP(A283,'619'!D:F,3,FALSE),0)</f>
        <v>935.93</v>
      </c>
      <c r="J283" s="59">
        <f>_xlfn.IFNA(VLOOKUP(A283,'619'!D:Q,14,FALSE),0)</f>
        <v>1899.63</v>
      </c>
      <c r="K283" s="59">
        <f>_xlfn.IFNA(VLOOKUP(A283,'619'!D:Q,14,FALSE),0)</f>
        <v>1899.63</v>
      </c>
      <c r="O283" t="s">
        <v>531</v>
      </c>
      <c r="P283">
        <f>_xlfn.IFNA(VLOOKUP(A283,IndirectCost!B:L,11,FALSE),"")</f>
        <v>4.3600000000000003</v>
      </c>
      <c r="Q283">
        <f t="shared" si="4"/>
        <v>4.36E-2</v>
      </c>
    </row>
    <row r="284" spans="1:17">
      <c r="A284" t="s">
        <v>241</v>
      </c>
      <c r="B284" t="s">
        <v>863</v>
      </c>
      <c r="C284" t="str">
        <f>VLOOKUP(A284,Districts!A:I,9,FALSE)</f>
        <v>Heartwood AZ</v>
      </c>
      <c r="D284" t="str">
        <f>VLOOKUP(A284,Districts!A:P,16,FALSE)</f>
        <v>HVTBRV2L7MU3</v>
      </c>
      <c r="F284" s="1">
        <v>45200</v>
      </c>
      <c r="G284" t="s">
        <v>529</v>
      </c>
      <c r="H284" t="s">
        <v>530</v>
      </c>
      <c r="I284" s="59">
        <f>_xlfn.IFNA(VLOOKUP(A284,'619'!D:F,3,FALSE),0)</f>
        <v>102.28</v>
      </c>
      <c r="J284" s="59">
        <f>_xlfn.IFNA(VLOOKUP(A284,'619'!D:Q,14,FALSE),0)</f>
        <v>102.28</v>
      </c>
      <c r="K284" s="59">
        <f>_xlfn.IFNA(VLOOKUP(A284,'619'!D:Q,14,FALSE),0)</f>
        <v>102.28</v>
      </c>
      <c r="O284" t="s">
        <v>531</v>
      </c>
      <c r="P284">
        <f>_xlfn.IFNA(VLOOKUP(A284,IndirectCost!B:L,11,FALSE),"")</f>
        <v>0</v>
      </c>
      <c r="Q284">
        <f t="shared" si="4"/>
        <v>0</v>
      </c>
    </row>
    <row r="285" spans="1:17">
      <c r="A285" t="s">
        <v>242</v>
      </c>
      <c r="B285" t="s">
        <v>864</v>
      </c>
      <c r="C285" t="str">
        <f>VLOOKUP(A285,Districts!A:I,9,FALSE)</f>
        <v>HEBER-OVERGAARD UNIFIED SCHOOL DISTRICT</v>
      </c>
      <c r="D285" t="str">
        <f>VLOOKUP(A285,Districts!A:P,16,FALSE)</f>
        <v>FJJNXDG3Y9X5</v>
      </c>
      <c r="F285" s="1">
        <v>45200</v>
      </c>
      <c r="G285" t="s">
        <v>529</v>
      </c>
      <c r="H285" t="s">
        <v>530</v>
      </c>
      <c r="I285" s="59">
        <f>_xlfn.IFNA(VLOOKUP(A285,'619'!D:F,3,FALSE),0)</f>
        <v>2932.17</v>
      </c>
      <c r="J285" s="59">
        <f>_xlfn.IFNA(VLOOKUP(A285,'619'!D:Q,14,FALSE),0)</f>
        <v>3903.37</v>
      </c>
      <c r="K285" s="59">
        <f>_xlfn.IFNA(VLOOKUP(A285,'619'!D:Q,14,FALSE),0)</f>
        <v>3903.37</v>
      </c>
      <c r="O285" t="s">
        <v>531</v>
      </c>
      <c r="P285" t="str">
        <f>_xlfn.IFNA(VLOOKUP(A285,IndirectCost!B:L,11,FALSE),"")</f>
        <v/>
      </c>
      <c r="Q285">
        <f t="shared" si="4"/>
        <v>0</v>
      </c>
    </row>
    <row r="286" spans="1:17">
      <c r="A286" t="s">
        <v>243</v>
      </c>
      <c r="B286" t="s">
        <v>865</v>
      </c>
      <c r="C286" t="str">
        <f>VLOOKUP(A286,Districts!A:I,9,FALSE)</f>
        <v>Heritage Academy Queen Creek, Inc   dba  Heritage Academy Gateway</v>
      </c>
      <c r="D286" t="str">
        <f>VLOOKUP(A286,Districts!A:P,16,FALSE)</f>
        <v>U9M7MM2WTJK3</v>
      </c>
      <c r="F286" s="1">
        <v>45200</v>
      </c>
      <c r="G286" t="s">
        <v>529</v>
      </c>
      <c r="H286" t="s">
        <v>530</v>
      </c>
      <c r="I286" s="59">
        <f>_xlfn.IFNA(VLOOKUP(A286,'619'!D:F,3,FALSE),0)</f>
        <v>513.33000000000004</v>
      </c>
      <c r="J286" s="59">
        <f>_xlfn.IFNA(VLOOKUP(A286,'619'!D:Q,14,FALSE),0)</f>
        <v>0</v>
      </c>
      <c r="K286" s="59">
        <f>_xlfn.IFNA(VLOOKUP(A286,'619'!D:Q,14,FALSE),0)</f>
        <v>0</v>
      </c>
      <c r="O286" t="s">
        <v>531</v>
      </c>
      <c r="P286" t="str">
        <f>_xlfn.IFNA(VLOOKUP(A286,IndirectCost!B:L,11,FALSE),"")</f>
        <v/>
      </c>
      <c r="Q286">
        <f t="shared" si="4"/>
        <v>0</v>
      </c>
    </row>
    <row r="287" spans="1:17">
      <c r="A287" t="s">
        <v>866</v>
      </c>
      <c r="B287" t="s">
        <v>867</v>
      </c>
      <c r="C287" t="str">
        <f>VLOOKUP(A287,Districts!A:I,9,FALSE)</f>
        <v>Heritage Academy Laveen, Inc.</v>
      </c>
      <c r="D287" t="str">
        <f>VLOOKUP(A287,Districts!A:P,16,FALSE)</f>
        <v>CAH6Q884LVX5</v>
      </c>
      <c r="F287" s="1">
        <v>45200</v>
      </c>
      <c r="G287" t="s">
        <v>529</v>
      </c>
      <c r="H287" t="s">
        <v>530</v>
      </c>
      <c r="I287" s="59">
        <f>_xlfn.IFNA(VLOOKUP(A287,'619'!D:F,3,FALSE),0)</f>
        <v>0</v>
      </c>
      <c r="J287" s="59">
        <f>_xlfn.IFNA(VLOOKUP(A287,'619'!D:Q,14,FALSE),0)</f>
        <v>0</v>
      </c>
      <c r="K287" s="59">
        <f>_xlfn.IFNA(VLOOKUP(A287,'619'!D:Q,14,FALSE),0)</f>
        <v>0</v>
      </c>
      <c r="O287" t="s">
        <v>531</v>
      </c>
      <c r="P287" t="str">
        <f>_xlfn.IFNA(VLOOKUP(A287,IndirectCost!B:L,11,FALSE),"")</f>
        <v/>
      </c>
      <c r="Q287">
        <f t="shared" si="4"/>
        <v>0</v>
      </c>
    </row>
    <row r="288" spans="1:17">
      <c r="A288" t="s">
        <v>868</v>
      </c>
      <c r="B288" t="s">
        <v>869</v>
      </c>
      <c r="C288" t="str">
        <f>VLOOKUP(A288,Districts!A:I,9,FALSE)</f>
        <v>Heritage Academy, Inc.</v>
      </c>
      <c r="D288" t="str">
        <f>VLOOKUP(A288,Districts!A:P,16,FALSE)</f>
        <v>VFMCD7WANWM9</v>
      </c>
      <c r="F288" s="1">
        <v>45200</v>
      </c>
      <c r="G288" t="s">
        <v>529</v>
      </c>
      <c r="H288" t="s">
        <v>530</v>
      </c>
      <c r="I288" s="59">
        <f>_xlfn.IFNA(VLOOKUP(A288,'619'!D:F,3,FALSE),0)</f>
        <v>0</v>
      </c>
      <c r="J288" s="59">
        <f>_xlfn.IFNA(VLOOKUP(A288,'619'!D:Q,14,FALSE),0)</f>
        <v>0</v>
      </c>
      <c r="K288" s="59">
        <f>_xlfn.IFNA(VLOOKUP(A288,'619'!D:Q,14,FALSE),0)</f>
        <v>0</v>
      </c>
      <c r="O288" t="s">
        <v>531</v>
      </c>
      <c r="P288" t="str">
        <f>_xlfn.IFNA(VLOOKUP(A288,IndirectCost!B:L,11,FALSE),"")</f>
        <v/>
      </c>
      <c r="Q288">
        <f t="shared" si="4"/>
        <v>0</v>
      </c>
    </row>
    <row r="289" spans="1:17">
      <c r="A289" t="s">
        <v>244</v>
      </c>
      <c r="B289" t="s">
        <v>870</v>
      </c>
      <c r="C289" t="str">
        <f>VLOOKUP(A289,Districts!A:I,9,FALSE)</f>
        <v>LIBERTY TRADITIONAL CHARTER SCHOOL INC</v>
      </c>
      <c r="D289" t="str">
        <f>VLOOKUP(A289,Districts!A:P,16,FALSE)</f>
        <v>LM1BJV9EJVX9</v>
      </c>
      <c r="F289" s="1">
        <v>45200</v>
      </c>
      <c r="G289" t="s">
        <v>529</v>
      </c>
      <c r="H289" t="s">
        <v>530</v>
      </c>
      <c r="I289" s="59">
        <f>_xlfn.IFNA(VLOOKUP(A289,'619'!D:F,3,FALSE),0)</f>
        <v>1014.88</v>
      </c>
      <c r="J289" s="59">
        <f>_xlfn.IFNA(VLOOKUP(A289,'619'!D:Q,14,FALSE),0)</f>
        <v>1014.88</v>
      </c>
      <c r="K289" s="59">
        <f>_xlfn.IFNA(VLOOKUP(A289,'619'!D:Q,14,FALSE),0)</f>
        <v>1014.88</v>
      </c>
      <c r="O289" t="s">
        <v>531</v>
      </c>
      <c r="P289" t="str">
        <f>_xlfn.IFNA(VLOOKUP(A289,IndirectCost!B:L,11,FALSE),"")</f>
        <v/>
      </c>
      <c r="Q289">
        <f t="shared" si="4"/>
        <v>0</v>
      </c>
    </row>
    <row r="290" spans="1:17">
      <c r="A290" t="s">
        <v>245</v>
      </c>
      <c r="B290" t="s">
        <v>871</v>
      </c>
      <c r="C290" t="str">
        <f>VLOOKUP(A290,Districts!A:I,9,FALSE)</f>
        <v>Hermosa Montessori School</v>
      </c>
      <c r="D290" t="str">
        <f>VLOOKUP(A290,Districts!A:P,16,FALSE)</f>
        <v>CZJQRNL4MYW3</v>
      </c>
      <c r="F290" s="1">
        <v>45200</v>
      </c>
      <c r="G290" t="s">
        <v>529</v>
      </c>
      <c r="H290" t="s">
        <v>530</v>
      </c>
      <c r="I290" s="59">
        <f>_xlfn.IFNA(VLOOKUP(A290,'619'!D:F,3,FALSE),0)</f>
        <v>823.6</v>
      </c>
      <c r="J290" s="59">
        <f>_xlfn.IFNA(VLOOKUP(A290,'619'!D:Q,14,FALSE),0)</f>
        <v>823.9</v>
      </c>
      <c r="K290" s="59">
        <f>_xlfn.IFNA(VLOOKUP(A290,'619'!D:Q,14,FALSE),0)</f>
        <v>823.9</v>
      </c>
      <c r="O290" t="s">
        <v>531</v>
      </c>
      <c r="P290" t="str">
        <f>_xlfn.IFNA(VLOOKUP(A290,IndirectCost!B:L,11,FALSE),"")</f>
        <v/>
      </c>
      <c r="Q290">
        <f t="shared" si="4"/>
        <v>0</v>
      </c>
    </row>
    <row r="291" spans="1:17">
      <c r="A291" t="s">
        <v>246</v>
      </c>
      <c r="B291" t="s">
        <v>872</v>
      </c>
      <c r="C291" t="str">
        <f>VLOOKUP(A291,Districts!A:I,9,FALSE)</f>
        <v>Highland Free School Fund, Inc</v>
      </c>
      <c r="D291" t="str">
        <f>VLOOKUP(A291,Districts!A:P,16,FALSE)</f>
        <v>L8UKNK18QBX6</v>
      </c>
      <c r="F291" s="1">
        <v>45200</v>
      </c>
      <c r="G291" t="s">
        <v>529</v>
      </c>
      <c r="H291" t="s">
        <v>530</v>
      </c>
      <c r="I291" s="59">
        <f>_xlfn.IFNA(VLOOKUP(A291,'619'!D:F,3,FALSE),0)</f>
        <v>356.01</v>
      </c>
      <c r="J291" s="59">
        <f>_xlfn.IFNA(VLOOKUP(A291,'619'!D:Q,14,FALSE),0)</f>
        <v>751.71</v>
      </c>
      <c r="K291" s="59">
        <f>_xlfn.IFNA(VLOOKUP(A291,'619'!D:Q,14,FALSE),0)</f>
        <v>751.71</v>
      </c>
      <c r="O291" t="s">
        <v>531</v>
      </c>
      <c r="P291">
        <f>_xlfn.IFNA(VLOOKUP(A291,IndirectCost!B:L,11,FALSE),"")</f>
        <v>0</v>
      </c>
      <c r="Q291">
        <f t="shared" si="4"/>
        <v>0</v>
      </c>
    </row>
    <row r="292" spans="1:17">
      <c r="A292" t="s">
        <v>873</v>
      </c>
      <c r="B292" t="s">
        <v>874</v>
      </c>
      <c r="C292" t="str">
        <f>VLOOKUP(A292,Districts!A:I,9,FALSE)</f>
        <v>Highland Prep</v>
      </c>
      <c r="D292" t="str">
        <f>VLOOKUP(A292,Districts!A:P,16,FALSE)</f>
        <v>KFBNM94MP353</v>
      </c>
      <c r="F292" s="1">
        <v>45200</v>
      </c>
      <c r="G292" t="s">
        <v>529</v>
      </c>
      <c r="H292" t="s">
        <v>530</v>
      </c>
      <c r="I292" s="59">
        <f>_xlfn.IFNA(VLOOKUP(A292,'619'!D:F,3,FALSE),0)</f>
        <v>0</v>
      </c>
      <c r="J292" s="59">
        <f>_xlfn.IFNA(VLOOKUP(A292,'619'!D:Q,14,FALSE),0)</f>
        <v>0</v>
      </c>
      <c r="K292" s="59">
        <f>_xlfn.IFNA(VLOOKUP(A292,'619'!D:Q,14,FALSE),0)</f>
        <v>0</v>
      </c>
      <c r="O292" t="s">
        <v>531</v>
      </c>
      <c r="P292" t="str">
        <f>_xlfn.IFNA(VLOOKUP(A292,IndirectCost!B:L,11,FALSE),"")</f>
        <v/>
      </c>
      <c r="Q292">
        <f t="shared" si="4"/>
        <v>0</v>
      </c>
    </row>
    <row r="293" spans="1:17">
      <c r="A293" t="s">
        <v>247</v>
      </c>
      <c r="B293" t="s">
        <v>875</v>
      </c>
      <c r="C293" t="str">
        <f>VLOOKUP(A293,Districts!A:I,9,FALSE)</f>
        <v>Higley Unified School District</v>
      </c>
      <c r="D293" t="str">
        <f>VLOOKUP(A293,Districts!A:P,16,FALSE)</f>
        <v>NC5CF1GYY621</v>
      </c>
      <c r="F293" s="1">
        <v>45200</v>
      </c>
      <c r="G293" t="s">
        <v>529</v>
      </c>
      <c r="H293" t="s">
        <v>530</v>
      </c>
      <c r="I293" s="59">
        <f>_xlfn.IFNA(VLOOKUP(A293,'619'!D:F,3,FALSE),0)</f>
        <v>29865.1</v>
      </c>
      <c r="J293" s="59">
        <f>_xlfn.IFNA(VLOOKUP(A293,'619'!D:Q,14,FALSE),0)</f>
        <v>48139.199999999997</v>
      </c>
      <c r="K293" s="59">
        <f>_xlfn.IFNA(VLOOKUP(A293,'619'!D:Q,14,FALSE),0)</f>
        <v>48139.199999999997</v>
      </c>
      <c r="O293" t="s">
        <v>531</v>
      </c>
      <c r="P293">
        <f>_xlfn.IFNA(VLOOKUP(A293,IndirectCost!B:L,11,FALSE),"")</f>
        <v>8</v>
      </c>
      <c r="Q293">
        <f t="shared" si="4"/>
        <v>0.08</v>
      </c>
    </row>
    <row r="294" spans="1:17">
      <c r="A294" t="s">
        <v>248</v>
      </c>
      <c r="B294" t="s">
        <v>876</v>
      </c>
      <c r="C294" t="str">
        <f>VLOOKUP(A294,Districts!A:I,9,FALSE)</f>
        <v>Hillside School District 35</v>
      </c>
      <c r="D294" t="str">
        <f>VLOOKUP(A294,Districts!A:P,16,FALSE)</f>
        <v>L5Z8GXF6FNL7</v>
      </c>
      <c r="F294" s="1">
        <v>45200</v>
      </c>
      <c r="G294" t="s">
        <v>529</v>
      </c>
      <c r="H294" t="s">
        <v>530</v>
      </c>
      <c r="I294" s="59">
        <f>_xlfn.IFNA(VLOOKUP(A294,'619'!D:F,3,FALSE),0)</f>
        <v>207.67</v>
      </c>
      <c r="J294" s="59">
        <f>_xlfn.IFNA(VLOOKUP(A294,'619'!D:Q,14,FALSE),0)</f>
        <v>207.67</v>
      </c>
      <c r="K294" s="59">
        <f>_xlfn.IFNA(VLOOKUP(A294,'619'!D:Q,14,FALSE),0)</f>
        <v>207.67</v>
      </c>
      <c r="O294" t="s">
        <v>531</v>
      </c>
      <c r="P294" t="str">
        <f>_xlfn.IFNA(VLOOKUP(A294,IndirectCost!B:L,11,FALSE),"")</f>
        <v/>
      </c>
      <c r="Q294">
        <f t="shared" si="4"/>
        <v>0</v>
      </c>
    </row>
    <row r="295" spans="1:17">
      <c r="A295" t="s">
        <v>249</v>
      </c>
      <c r="B295" t="s">
        <v>877</v>
      </c>
      <c r="C295" t="str">
        <f>VLOOKUP(A295,Districts!A:I,9,FALSE)</f>
        <v>Hirsch Academy A Challenge Foundation Academy Inc</v>
      </c>
      <c r="D295" t="str">
        <f>VLOOKUP(A295,Districts!A:P,16,FALSE)</f>
        <v>WR93NMCH2UB3</v>
      </c>
      <c r="F295" s="1">
        <v>45200</v>
      </c>
      <c r="G295" t="s">
        <v>529</v>
      </c>
      <c r="H295" t="s">
        <v>530</v>
      </c>
      <c r="I295" s="59">
        <f>_xlfn.IFNA(VLOOKUP(A295,'619'!D:F,3,FALSE),0)</f>
        <v>827.21</v>
      </c>
      <c r="J295" s="59">
        <f>_xlfn.IFNA(VLOOKUP(A295,'619'!D:Q,14,FALSE),0)</f>
        <v>2002.62</v>
      </c>
      <c r="K295" s="59">
        <f>_xlfn.IFNA(VLOOKUP(A295,'619'!D:Q,14,FALSE),0)</f>
        <v>2002.62</v>
      </c>
      <c r="O295" t="s">
        <v>531</v>
      </c>
      <c r="P295" t="str">
        <f>_xlfn.IFNA(VLOOKUP(A295,IndirectCost!B:L,11,FALSE),"")</f>
        <v/>
      </c>
      <c r="Q295">
        <f t="shared" si="4"/>
        <v>0</v>
      </c>
    </row>
    <row r="296" spans="1:17">
      <c r="A296" t="s">
        <v>250</v>
      </c>
      <c r="B296" t="s">
        <v>878</v>
      </c>
      <c r="C296" t="str">
        <f>VLOOKUP(A296,Districts!A:I,9,FALSE)</f>
        <v>Holbrook School District 3</v>
      </c>
      <c r="D296" t="str">
        <f>VLOOKUP(A296,Districts!A:P,16,FALSE)</f>
        <v>R2AMYB5LKG65</v>
      </c>
      <c r="F296" s="1">
        <v>45200</v>
      </c>
      <c r="G296" t="s">
        <v>529</v>
      </c>
      <c r="H296" t="s">
        <v>530</v>
      </c>
      <c r="I296" s="59">
        <f>_xlfn.IFNA(VLOOKUP(A296,'619'!D:F,3,FALSE),0)</f>
        <v>13710.38</v>
      </c>
      <c r="J296" s="59">
        <f>_xlfn.IFNA(VLOOKUP(A296,'619'!D:Q,14,FALSE),0)</f>
        <v>13710.38</v>
      </c>
      <c r="K296" s="59">
        <f>_xlfn.IFNA(VLOOKUP(A296,'619'!D:Q,14,FALSE),0)</f>
        <v>13710.38</v>
      </c>
      <c r="O296" t="s">
        <v>531</v>
      </c>
      <c r="P296">
        <f>_xlfn.IFNA(VLOOKUP(A296,IndirectCost!B:L,11,FALSE),"")</f>
        <v>2.79</v>
      </c>
      <c r="Q296">
        <f t="shared" si="4"/>
        <v>2.7900000000000001E-2</v>
      </c>
    </row>
    <row r="297" spans="1:17">
      <c r="A297" t="s">
        <v>879</v>
      </c>
      <c r="B297" t="s">
        <v>880</v>
      </c>
      <c r="C297" t="str">
        <f>VLOOKUP(A297,Districts!A:I,9,FALSE)</f>
        <v>Horizon Community Learning Center</v>
      </c>
      <c r="D297" t="str">
        <f>VLOOKUP(A297,Districts!A:P,16,FALSE)</f>
        <v>VBSJN8J4V2Y7</v>
      </c>
      <c r="F297" s="1">
        <v>45200</v>
      </c>
      <c r="G297" t="s">
        <v>529</v>
      </c>
      <c r="H297" t="s">
        <v>530</v>
      </c>
      <c r="I297" s="59">
        <f>_xlfn.IFNA(VLOOKUP(A297,'619'!D:F,3,FALSE),0)</f>
        <v>0</v>
      </c>
      <c r="J297" s="59">
        <f>_xlfn.IFNA(VLOOKUP(A297,'619'!D:Q,14,FALSE),0)</f>
        <v>0</v>
      </c>
      <c r="K297" s="59">
        <f>_xlfn.IFNA(VLOOKUP(A297,'619'!D:Q,14,FALSE),0)</f>
        <v>0</v>
      </c>
      <c r="O297" t="s">
        <v>531</v>
      </c>
      <c r="P297" t="str">
        <f>_xlfn.IFNA(VLOOKUP(A297,IndirectCost!B:L,11,FALSE),"")</f>
        <v/>
      </c>
      <c r="Q297">
        <f t="shared" si="4"/>
        <v>0</v>
      </c>
    </row>
    <row r="298" spans="1:17">
      <c r="A298" t="s">
        <v>251</v>
      </c>
      <c r="B298" t="s">
        <v>880</v>
      </c>
      <c r="C298" t="str">
        <f>VLOOKUP(A298,Districts!A:I,9,FALSE)</f>
        <v>Horizon Community Learning Center</v>
      </c>
      <c r="D298" t="str">
        <f>VLOOKUP(A298,Districts!A:P,16,FALSE)</f>
        <v>VBSJN8J4V2Y7</v>
      </c>
      <c r="F298" s="1">
        <v>45200</v>
      </c>
      <c r="G298" t="s">
        <v>529</v>
      </c>
      <c r="H298" t="s">
        <v>530</v>
      </c>
      <c r="I298" s="59">
        <f>_xlfn.IFNA(VLOOKUP(A298,'619'!D:F,3,FALSE),0)</f>
        <v>790.73</v>
      </c>
      <c r="J298" s="59">
        <f>_xlfn.IFNA(VLOOKUP(A298,'619'!D:Q,14,FALSE),0)</f>
        <v>0</v>
      </c>
      <c r="K298" s="59">
        <f>_xlfn.IFNA(VLOOKUP(A298,'619'!D:Q,14,FALSE),0)</f>
        <v>0</v>
      </c>
      <c r="O298" t="s">
        <v>531</v>
      </c>
      <c r="P298" t="str">
        <f>_xlfn.IFNA(VLOOKUP(A298,IndirectCost!B:L,11,FALSE),"")</f>
        <v/>
      </c>
      <c r="Q298">
        <f t="shared" si="4"/>
        <v>0</v>
      </c>
    </row>
    <row r="299" spans="1:17">
      <c r="A299" t="s">
        <v>252</v>
      </c>
      <c r="B299" t="s">
        <v>881</v>
      </c>
      <c r="C299" t="str">
        <f>VLOOKUP(A299,Districts!A:I,9,FALSE)</f>
        <v>County of Yavapai HUMBOLDT UNIFIED SCHOOL DISTRICT 22</v>
      </c>
      <c r="D299" t="str">
        <f>VLOOKUP(A299,Districts!A:P,16,FALSE)</f>
        <v>QEC1W7F1MGG6</v>
      </c>
      <c r="F299" s="1">
        <v>45200</v>
      </c>
      <c r="G299" t="s">
        <v>529</v>
      </c>
      <c r="H299" t="s">
        <v>530</v>
      </c>
      <c r="I299" s="59">
        <f>_xlfn.IFNA(VLOOKUP(A299,'619'!D:F,3,FALSE),0)</f>
        <v>33117.129999999997</v>
      </c>
      <c r="J299" s="59">
        <f>_xlfn.IFNA(VLOOKUP(A299,'619'!D:Q,14,FALSE),0)</f>
        <v>65025.63</v>
      </c>
      <c r="K299" s="59">
        <f>_xlfn.IFNA(VLOOKUP(A299,'619'!D:Q,14,FALSE),0)</f>
        <v>65025.63</v>
      </c>
      <c r="O299" t="s">
        <v>531</v>
      </c>
      <c r="P299">
        <f>_xlfn.IFNA(VLOOKUP(A299,IndirectCost!B:L,11,FALSE),"")</f>
        <v>4.2300000000000004</v>
      </c>
      <c r="Q299">
        <f t="shared" si="4"/>
        <v>4.2300000000000004E-2</v>
      </c>
    </row>
    <row r="300" spans="1:17">
      <c r="A300" t="s">
        <v>253</v>
      </c>
      <c r="B300" t="s">
        <v>882</v>
      </c>
      <c r="C300" t="str">
        <f>VLOOKUP(A300,Districts!A:I,9,FALSE)</f>
        <v>HYDER ELEMENTARY SCHOOL DISTRICT 16 DBA Dateland Elementary School</v>
      </c>
      <c r="D300" t="str">
        <f>VLOOKUP(A300,Districts!A:P,16,FALSE)</f>
        <v>MYM2CJLMKWP9</v>
      </c>
      <c r="F300" s="1">
        <v>45200</v>
      </c>
      <c r="G300" t="s">
        <v>529</v>
      </c>
      <c r="H300" t="s">
        <v>530</v>
      </c>
      <c r="I300" s="59">
        <f>_xlfn.IFNA(VLOOKUP(A300,'619'!D:F,3,FALSE),0)</f>
        <v>989.27</v>
      </c>
      <c r="J300" s="59">
        <f>_xlfn.IFNA(VLOOKUP(A300,'619'!D:Q,14,FALSE),0)</f>
        <v>1974.57</v>
      </c>
      <c r="K300" s="59">
        <f>_xlfn.IFNA(VLOOKUP(A300,'619'!D:Q,14,FALSE),0)</f>
        <v>1974.57</v>
      </c>
      <c r="O300" t="s">
        <v>531</v>
      </c>
      <c r="P300">
        <f>_xlfn.IFNA(VLOOKUP(A300,IndirectCost!B:L,11,FALSE),"")</f>
        <v>0</v>
      </c>
      <c r="Q300">
        <f t="shared" si="4"/>
        <v>0</v>
      </c>
    </row>
    <row r="301" spans="1:17">
      <c r="A301" t="s">
        <v>254</v>
      </c>
      <c r="B301" t="s">
        <v>883</v>
      </c>
      <c r="C301" t="str">
        <f>VLOOKUP(A301,Districts!A:I,9,FALSE)</f>
        <v>Imagine Elementary at Avondale, LLC</v>
      </c>
      <c r="D301" t="str">
        <f>VLOOKUP(A301,Districts!A:P,16,FALSE)</f>
        <v>VKVEXKTDKMJ6</v>
      </c>
      <c r="F301" s="1">
        <v>45200</v>
      </c>
      <c r="G301" t="s">
        <v>529</v>
      </c>
      <c r="H301" t="s">
        <v>530</v>
      </c>
      <c r="I301" s="59">
        <f>_xlfn.IFNA(VLOOKUP(A301,'619'!D:F,3,FALSE),0)</f>
        <v>1148.4100000000001</v>
      </c>
      <c r="J301" s="59">
        <f>_xlfn.IFNA(VLOOKUP(A301,'619'!D:Q,14,FALSE),0)</f>
        <v>2702.08</v>
      </c>
      <c r="K301" s="59">
        <f>_xlfn.IFNA(VLOOKUP(A301,'619'!D:Q,14,FALSE),0)</f>
        <v>2702.08</v>
      </c>
      <c r="O301" t="s">
        <v>531</v>
      </c>
      <c r="P301" t="str">
        <f>_xlfn.IFNA(VLOOKUP(A301,IndirectCost!B:L,11,FALSE),"")</f>
        <v/>
      </c>
      <c r="Q301">
        <f t="shared" si="4"/>
        <v>0</v>
      </c>
    </row>
    <row r="302" spans="1:17">
      <c r="A302" t="s">
        <v>884</v>
      </c>
      <c r="B302" t="s">
        <v>885</v>
      </c>
      <c r="C302" t="str">
        <f>VLOOKUP(A302,Districts!A:I,9,FALSE)</f>
        <v>Imagine Middle at Avondale, LLC.</v>
      </c>
      <c r="D302" t="str">
        <f>VLOOKUP(A302,Districts!A:P,16,FALSE)</f>
        <v>Q31MRYLUAP57</v>
      </c>
      <c r="F302" s="1">
        <v>45200</v>
      </c>
      <c r="G302" t="s">
        <v>529</v>
      </c>
      <c r="H302" t="s">
        <v>530</v>
      </c>
      <c r="I302" s="59">
        <f>_xlfn.IFNA(VLOOKUP(A302,'619'!D:F,3,FALSE),0)</f>
        <v>0</v>
      </c>
      <c r="J302" s="59">
        <f>_xlfn.IFNA(VLOOKUP(A302,'619'!D:Q,14,FALSE),0)</f>
        <v>0</v>
      </c>
      <c r="K302" s="59">
        <f>_xlfn.IFNA(VLOOKUP(A302,'619'!D:Q,14,FALSE),0)</f>
        <v>0</v>
      </c>
      <c r="O302" t="s">
        <v>531</v>
      </c>
      <c r="P302" t="str">
        <f>_xlfn.IFNA(VLOOKUP(A302,IndirectCost!B:L,11,FALSE),"")</f>
        <v/>
      </c>
      <c r="Q302">
        <f t="shared" si="4"/>
        <v>0</v>
      </c>
    </row>
    <row r="303" spans="1:17">
      <c r="A303" t="s">
        <v>886</v>
      </c>
      <c r="B303" t="s">
        <v>887</v>
      </c>
      <c r="C303" t="str">
        <f>VLOOKUP(A303,Districts!A:I,9,FALSE)</f>
        <v>Imagine Middle School</v>
      </c>
      <c r="D303" t="str">
        <f>VLOOKUP(A303,Districts!A:P,16,FALSE)</f>
        <v>RJS4M7QN5VU5</v>
      </c>
      <c r="F303" s="1">
        <v>45200</v>
      </c>
      <c r="G303" t="s">
        <v>529</v>
      </c>
      <c r="H303" t="s">
        <v>530</v>
      </c>
      <c r="I303" s="59">
        <f>_xlfn.IFNA(VLOOKUP(A303,'619'!D:F,3,FALSE),0)</f>
        <v>0</v>
      </c>
      <c r="J303" s="59">
        <f>_xlfn.IFNA(VLOOKUP(A303,'619'!D:Q,14,FALSE),0)</f>
        <v>0</v>
      </c>
      <c r="K303" s="59">
        <f>_xlfn.IFNA(VLOOKUP(A303,'619'!D:Q,14,FALSE),0)</f>
        <v>0</v>
      </c>
      <c r="O303" t="s">
        <v>531</v>
      </c>
      <c r="P303" t="str">
        <f>_xlfn.IFNA(VLOOKUP(A303,IndirectCost!B:L,11,FALSE),"")</f>
        <v/>
      </c>
      <c r="Q303">
        <f t="shared" si="4"/>
        <v>0</v>
      </c>
    </row>
    <row r="304" spans="1:17">
      <c r="A304" t="s">
        <v>255</v>
      </c>
      <c r="B304" t="s">
        <v>888</v>
      </c>
      <c r="C304" t="str">
        <f>VLOOKUP(A304,Districts!A:I,9,FALSE)</f>
        <v>Imagine Elementary at Camelback</v>
      </c>
      <c r="D304" t="str">
        <f>VLOOKUP(A304,Districts!A:P,16,FALSE)</f>
        <v>YAMLT5XCL7R4</v>
      </c>
      <c r="F304" s="1">
        <v>45200</v>
      </c>
      <c r="G304" t="s">
        <v>529</v>
      </c>
      <c r="H304" t="s">
        <v>530</v>
      </c>
      <c r="I304" s="59">
        <f>_xlfn.IFNA(VLOOKUP(A304,'619'!D:F,3,FALSE),0)</f>
        <v>602.12</v>
      </c>
      <c r="J304" s="59">
        <f>_xlfn.IFNA(VLOOKUP(A304,'619'!D:Q,14,FALSE),0)</f>
        <v>1310.02</v>
      </c>
      <c r="K304" s="59">
        <f>_xlfn.IFNA(VLOOKUP(A304,'619'!D:Q,14,FALSE),0)</f>
        <v>1310.02</v>
      </c>
      <c r="O304" t="s">
        <v>531</v>
      </c>
      <c r="P304" t="str">
        <f>_xlfn.IFNA(VLOOKUP(A304,IndirectCost!B:L,11,FALSE),"")</f>
        <v/>
      </c>
      <c r="Q304">
        <f t="shared" si="4"/>
        <v>0</v>
      </c>
    </row>
    <row r="305" spans="1:17">
      <c r="A305" t="s">
        <v>256</v>
      </c>
      <c r="B305" t="s">
        <v>889</v>
      </c>
      <c r="C305" t="str">
        <f>VLOOKUP(A305,Districts!A:I,9,FALSE)</f>
        <v>Imagine Charter Elementary at Desert West Inc</v>
      </c>
      <c r="D305" t="str">
        <f>VLOOKUP(A305,Districts!A:P,16,FALSE)</f>
        <v>LFQAUH9Q5MB6</v>
      </c>
      <c r="F305" s="1">
        <v>45200</v>
      </c>
      <c r="G305" t="s">
        <v>529</v>
      </c>
      <c r="H305" t="s">
        <v>530</v>
      </c>
      <c r="I305" s="59">
        <f>_xlfn.IFNA(VLOOKUP(A305,'619'!D:F,3,FALSE),0)</f>
        <v>2145.7399999999998</v>
      </c>
      <c r="J305" s="59">
        <f>_xlfn.IFNA(VLOOKUP(A305,'619'!D:Q,14,FALSE),0)</f>
        <v>2145.7399999999998</v>
      </c>
      <c r="K305" s="59">
        <f>_xlfn.IFNA(VLOOKUP(A305,'619'!D:Q,14,FALSE),0)</f>
        <v>2145.7399999999998</v>
      </c>
      <c r="O305" t="s">
        <v>531</v>
      </c>
      <c r="P305" t="str">
        <f>_xlfn.IFNA(VLOOKUP(A305,IndirectCost!B:L,11,FALSE),"")</f>
        <v/>
      </c>
      <c r="Q305">
        <f t="shared" si="4"/>
        <v>0</v>
      </c>
    </row>
    <row r="306" spans="1:17">
      <c r="A306" t="s">
        <v>257</v>
      </c>
      <c r="B306" t="s">
        <v>890</v>
      </c>
      <c r="C306" t="str">
        <f>VLOOKUP(A306,Districts!A:I,9,FALSE)</f>
        <v>Imagine Coolidge Elementary , Inc</v>
      </c>
      <c r="D306" t="str">
        <f>VLOOKUP(A306,Districts!A:P,16,FALSE)</f>
        <v>P1LCEWCRZK65</v>
      </c>
      <c r="F306" s="1">
        <v>45200</v>
      </c>
      <c r="G306" t="s">
        <v>529</v>
      </c>
      <c r="H306" t="s">
        <v>530</v>
      </c>
      <c r="I306" s="59">
        <f>_xlfn.IFNA(VLOOKUP(A306,'619'!D:F,3,FALSE),0)</f>
        <v>834.26</v>
      </c>
      <c r="J306" s="59">
        <f>_xlfn.IFNA(VLOOKUP(A306,'619'!D:Q,14,FALSE),0)</f>
        <v>834.26</v>
      </c>
      <c r="K306" s="59">
        <f>_xlfn.IFNA(VLOOKUP(A306,'619'!D:Q,14,FALSE),0)</f>
        <v>834.26</v>
      </c>
      <c r="O306" t="s">
        <v>531</v>
      </c>
      <c r="P306" t="str">
        <f>_xlfn.IFNA(VLOOKUP(A306,IndirectCost!B:L,11,FALSE),"")</f>
        <v/>
      </c>
      <c r="Q306">
        <f t="shared" si="4"/>
        <v>0</v>
      </c>
    </row>
    <row r="307" spans="1:17">
      <c r="A307" t="s">
        <v>891</v>
      </c>
      <c r="B307" t="s">
        <v>892</v>
      </c>
      <c r="C307" t="str">
        <f>VLOOKUP(A307,Districts!A:I,9,FALSE)</f>
        <v>Imagine Middle Schools At</v>
      </c>
      <c r="D307" t="str">
        <f>VLOOKUP(A307,Districts!A:P,16,FALSE)</f>
        <v>D7K6ASJJAP45</v>
      </c>
      <c r="F307" s="1">
        <v>45200</v>
      </c>
      <c r="G307" t="s">
        <v>529</v>
      </c>
      <c r="H307" t="s">
        <v>530</v>
      </c>
      <c r="I307" s="59">
        <f>_xlfn.IFNA(VLOOKUP(A307,'619'!D:F,3,FALSE),0)</f>
        <v>0</v>
      </c>
      <c r="J307" s="59">
        <f>_xlfn.IFNA(VLOOKUP(A307,'619'!D:Q,14,FALSE),0)</f>
        <v>0</v>
      </c>
      <c r="K307" s="59">
        <f>_xlfn.IFNA(VLOOKUP(A307,'619'!D:Q,14,FALSE),0)</f>
        <v>0</v>
      </c>
      <c r="O307" t="s">
        <v>531</v>
      </c>
      <c r="P307" t="str">
        <f>_xlfn.IFNA(VLOOKUP(A307,IndirectCost!B:L,11,FALSE),"")</f>
        <v/>
      </c>
      <c r="Q307">
        <f t="shared" si="4"/>
        <v>0</v>
      </c>
    </row>
    <row r="308" spans="1:17">
      <c r="A308" t="s">
        <v>893</v>
      </c>
      <c r="B308" t="s">
        <v>894</v>
      </c>
      <c r="C308" t="str">
        <f>VLOOKUP(A308,Districts!A:I,9,FALSE)</f>
        <v>Imagine Middle at East Mesa</v>
      </c>
      <c r="D308" t="str">
        <f>VLOOKUP(A308,Districts!A:P,16,FALSE)</f>
        <v>ZKJZNKG79X37</v>
      </c>
      <c r="F308" s="1">
        <v>45200</v>
      </c>
      <c r="G308" t="s">
        <v>529</v>
      </c>
      <c r="H308" t="s">
        <v>530</v>
      </c>
      <c r="I308" s="59">
        <f>_xlfn.IFNA(VLOOKUP(A308,'619'!D:F,3,FALSE),0)</f>
        <v>0</v>
      </c>
      <c r="J308" s="59">
        <f>_xlfn.IFNA(VLOOKUP(A308,'619'!D:Q,14,FALSE),0)</f>
        <v>0</v>
      </c>
      <c r="K308" s="59">
        <f>_xlfn.IFNA(VLOOKUP(A308,'619'!D:Q,14,FALSE),0)</f>
        <v>0</v>
      </c>
      <c r="O308" t="s">
        <v>531</v>
      </c>
      <c r="P308" t="str">
        <f>_xlfn.IFNA(VLOOKUP(A308,IndirectCost!B:L,11,FALSE),"")</f>
        <v/>
      </c>
      <c r="Q308">
        <f t="shared" si="4"/>
        <v>0</v>
      </c>
    </row>
    <row r="309" spans="1:17">
      <c r="A309" t="s">
        <v>895</v>
      </c>
      <c r="B309" t="s">
        <v>896</v>
      </c>
      <c r="C309" t="str">
        <f>VLOOKUP(A309,Districts!A:I,9,FALSE)</f>
        <v>Imagine Middle at Surprise, Inc</v>
      </c>
      <c r="D309" t="str">
        <f>VLOOKUP(A309,Districts!A:P,16,FALSE)</f>
        <v>NX85QKZLEJF9</v>
      </c>
      <c r="F309" s="1">
        <v>45200</v>
      </c>
      <c r="G309" t="s">
        <v>529</v>
      </c>
      <c r="H309" t="s">
        <v>530</v>
      </c>
      <c r="I309" s="59">
        <f>_xlfn.IFNA(VLOOKUP(A309,'619'!D:F,3,FALSE),0)</f>
        <v>0</v>
      </c>
      <c r="J309" s="59">
        <f>_xlfn.IFNA(VLOOKUP(A309,'619'!D:Q,14,FALSE),0)</f>
        <v>0</v>
      </c>
      <c r="K309" s="59">
        <f>_xlfn.IFNA(VLOOKUP(A309,'619'!D:Q,14,FALSE),0)</f>
        <v>0</v>
      </c>
      <c r="O309" t="s">
        <v>531</v>
      </c>
      <c r="P309" t="str">
        <f>_xlfn.IFNA(VLOOKUP(A309,IndirectCost!B:L,11,FALSE),"")</f>
        <v/>
      </c>
      <c r="Q309">
        <f t="shared" si="4"/>
        <v>0</v>
      </c>
    </row>
    <row r="310" spans="1:17">
      <c r="A310" t="s">
        <v>897</v>
      </c>
      <c r="B310" t="s">
        <v>898</v>
      </c>
      <c r="C310" t="str">
        <f>VLOOKUP(A310,Districts!A:I,9,FALSE)</f>
        <v>IMAGINE PREP AT COOLIDGE SODEX</v>
      </c>
      <c r="D310" t="str">
        <f>VLOOKUP(A310,Districts!A:P,16,FALSE)</f>
        <v>YMHYM6MJMP19</v>
      </c>
      <c r="F310" s="1">
        <v>45200</v>
      </c>
      <c r="G310" t="s">
        <v>529</v>
      </c>
      <c r="H310" t="s">
        <v>530</v>
      </c>
      <c r="I310" s="59">
        <f>_xlfn.IFNA(VLOOKUP(A310,'619'!D:F,3,FALSE),0)</f>
        <v>0</v>
      </c>
      <c r="J310" s="59">
        <f>_xlfn.IFNA(VLOOKUP(A310,'619'!D:Q,14,FALSE),0)</f>
        <v>0</v>
      </c>
      <c r="K310" s="59">
        <f>_xlfn.IFNA(VLOOKUP(A310,'619'!D:Q,14,FALSE),0)</f>
        <v>0</v>
      </c>
      <c r="O310" t="s">
        <v>531</v>
      </c>
      <c r="P310" t="str">
        <f>_xlfn.IFNA(VLOOKUP(A310,IndirectCost!B:L,11,FALSE),"")</f>
        <v/>
      </c>
      <c r="Q310">
        <f t="shared" si="4"/>
        <v>0</v>
      </c>
    </row>
    <row r="311" spans="1:17">
      <c r="A311" t="s">
        <v>899</v>
      </c>
      <c r="B311" t="s">
        <v>900</v>
      </c>
      <c r="C311" t="str">
        <f>VLOOKUP(A311,Districts!A:I,9,FALSE)</f>
        <v>Imagine Prep Superstition</v>
      </c>
      <c r="D311" t="str">
        <f>VLOOKUP(A311,Districts!A:P,16,FALSE)</f>
        <v>W6CAT9QKGJW6</v>
      </c>
      <c r="F311" s="1">
        <v>45200</v>
      </c>
      <c r="G311" t="s">
        <v>529</v>
      </c>
      <c r="H311" t="s">
        <v>530</v>
      </c>
      <c r="I311" s="59">
        <f>_xlfn.IFNA(VLOOKUP(A311,'619'!D:F,3,FALSE),0)</f>
        <v>0</v>
      </c>
      <c r="J311" s="59">
        <f>_xlfn.IFNA(VLOOKUP(A311,'619'!D:Q,14,FALSE),0)</f>
        <v>0</v>
      </c>
      <c r="K311" s="59">
        <f>_xlfn.IFNA(VLOOKUP(A311,'619'!D:Q,14,FALSE),0)</f>
        <v>0</v>
      </c>
      <c r="O311" t="s">
        <v>531</v>
      </c>
      <c r="P311" t="str">
        <f>_xlfn.IFNA(VLOOKUP(A311,IndirectCost!B:L,11,FALSE),"")</f>
        <v/>
      </c>
      <c r="Q311">
        <f t="shared" si="4"/>
        <v>0</v>
      </c>
    </row>
    <row r="312" spans="1:17">
      <c r="A312" t="s">
        <v>901</v>
      </c>
      <c r="B312" t="s">
        <v>902</v>
      </c>
      <c r="C312" t="str">
        <f>VLOOKUP(A312,Districts!A:I,9,FALSE)</f>
        <v>Imagine Prep Surprise</v>
      </c>
      <c r="D312" t="str">
        <f>VLOOKUP(A312,Districts!A:P,16,FALSE)</f>
        <v>P3UAXZ1BQK77</v>
      </c>
      <c r="F312" s="1">
        <v>45200</v>
      </c>
      <c r="G312" t="s">
        <v>529</v>
      </c>
      <c r="H312" t="s">
        <v>530</v>
      </c>
      <c r="I312" s="59">
        <f>_xlfn.IFNA(VLOOKUP(A312,'619'!D:F,3,FALSE),0)</f>
        <v>0</v>
      </c>
      <c r="J312" s="59">
        <f>_xlfn.IFNA(VLOOKUP(A312,'619'!D:Q,14,FALSE),0)</f>
        <v>0</v>
      </c>
      <c r="K312" s="59">
        <f>_xlfn.IFNA(VLOOKUP(A312,'619'!D:Q,14,FALSE),0)</f>
        <v>0</v>
      </c>
      <c r="O312" t="s">
        <v>531</v>
      </c>
      <c r="P312" t="str">
        <f>_xlfn.IFNA(VLOOKUP(A312,IndirectCost!B:L,11,FALSE),"")</f>
        <v/>
      </c>
      <c r="Q312">
        <f t="shared" si="4"/>
        <v>0</v>
      </c>
    </row>
    <row r="313" spans="1:17">
      <c r="A313" t="s">
        <v>903</v>
      </c>
      <c r="B313" t="s">
        <v>904</v>
      </c>
      <c r="C313" t="str">
        <f>VLOOKUP(A313,Districts!A:I,9,FALSE)</f>
        <v>Imagine Superstition Middle, Inc</v>
      </c>
      <c r="D313" t="str">
        <f>VLOOKUP(A313,Districts!A:P,16,FALSE)</f>
        <v>UEZLJFP6AJ21</v>
      </c>
      <c r="F313" s="1">
        <v>45200</v>
      </c>
      <c r="G313" t="s">
        <v>529</v>
      </c>
      <c r="H313" t="s">
        <v>530</v>
      </c>
      <c r="I313" s="59">
        <f>_xlfn.IFNA(VLOOKUP(A313,'619'!D:F,3,FALSE),0)</f>
        <v>0</v>
      </c>
      <c r="J313" s="59">
        <f>_xlfn.IFNA(VLOOKUP(A313,'619'!D:Q,14,FALSE),0)</f>
        <v>0</v>
      </c>
      <c r="K313" s="59">
        <f>_xlfn.IFNA(VLOOKUP(A313,'619'!D:Q,14,FALSE),0)</f>
        <v>0</v>
      </c>
      <c r="O313" t="s">
        <v>531</v>
      </c>
      <c r="P313" t="str">
        <f>_xlfn.IFNA(VLOOKUP(A313,IndirectCost!B:L,11,FALSE),"")</f>
        <v/>
      </c>
      <c r="Q313">
        <f t="shared" si="4"/>
        <v>0</v>
      </c>
    </row>
    <row r="314" spans="1:17">
      <c r="A314" t="s">
        <v>258</v>
      </c>
      <c r="B314" t="s">
        <v>905</v>
      </c>
      <c r="C314" t="str">
        <f>VLOOKUP(A314,Districts!A:I,9,FALSE)</f>
        <v>Incito Schools</v>
      </c>
      <c r="D314" t="str">
        <f>VLOOKUP(A314,Districts!A:P,16,FALSE)</f>
        <v>NBN1UBJ42B48</v>
      </c>
      <c r="F314" s="1">
        <v>45200</v>
      </c>
      <c r="G314" t="s">
        <v>529</v>
      </c>
      <c r="H314" t="s">
        <v>530</v>
      </c>
      <c r="I314" s="59">
        <f>_xlfn.IFNA(VLOOKUP(A314,'619'!D:F,3,FALSE),0)</f>
        <v>1146.1199999999999</v>
      </c>
      <c r="J314" s="59">
        <f>_xlfn.IFNA(VLOOKUP(A314,'619'!D:Q,14,FALSE),0)</f>
        <v>1146.1199999999999</v>
      </c>
      <c r="K314" s="59">
        <f>_xlfn.IFNA(VLOOKUP(A314,'619'!D:Q,14,FALSE),0)</f>
        <v>1146.1199999999999</v>
      </c>
      <c r="O314" t="s">
        <v>531</v>
      </c>
      <c r="P314" t="str">
        <f>_xlfn.IFNA(VLOOKUP(A314,IndirectCost!B:L,11,FALSE),"")</f>
        <v/>
      </c>
      <c r="Q314">
        <f t="shared" si="4"/>
        <v>0</v>
      </c>
    </row>
    <row r="315" spans="1:17">
      <c r="A315" t="s">
        <v>906</v>
      </c>
      <c r="B315" t="s">
        <v>907</v>
      </c>
      <c r="C315" t="str">
        <f>VLOOKUP(A315,Districts!A:I,9,FALSE)</f>
        <v>Institute for Transformative Education DBA Changemaker High School</v>
      </c>
      <c r="D315" t="str">
        <f>VLOOKUP(A315,Districts!A:P,16,FALSE)</f>
        <v>XK1UF7UCXLL3</v>
      </c>
      <c r="F315" s="1">
        <v>45200</v>
      </c>
      <c r="G315" t="s">
        <v>529</v>
      </c>
      <c r="H315" t="s">
        <v>530</v>
      </c>
      <c r="I315" s="59">
        <f>_xlfn.IFNA(VLOOKUP(A315,'619'!D:F,3,FALSE),0)</f>
        <v>0</v>
      </c>
      <c r="J315" s="59">
        <f>_xlfn.IFNA(VLOOKUP(A315,'619'!D:Q,14,FALSE),0)</f>
        <v>0</v>
      </c>
      <c r="K315" s="59">
        <f>_xlfn.IFNA(VLOOKUP(A315,'619'!D:Q,14,FALSE),0)</f>
        <v>0</v>
      </c>
      <c r="O315" t="s">
        <v>531</v>
      </c>
      <c r="P315">
        <f>_xlfn.IFNA(VLOOKUP(A315,IndirectCost!B:L,11,FALSE),"")</f>
        <v>0</v>
      </c>
      <c r="Q315">
        <f t="shared" si="4"/>
        <v>0</v>
      </c>
    </row>
    <row r="316" spans="1:17">
      <c r="A316" t="s">
        <v>908</v>
      </c>
      <c r="B316" t="s">
        <v>909</v>
      </c>
      <c r="C316" t="str">
        <f>VLOOKUP(A316,Districts!A:I,9,FALSE)</f>
        <v>IntelliSchool</v>
      </c>
      <c r="D316" t="str">
        <f>VLOOKUP(A316,Districts!A:P,16,FALSE)</f>
        <v>ER2KCXJ79CA8</v>
      </c>
      <c r="F316" s="1">
        <v>45200</v>
      </c>
      <c r="G316" t="s">
        <v>529</v>
      </c>
      <c r="H316" t="s">
        <v>530</v>
      </c>
      <c r="I316" s="59">
        <f>_xlfn.IFNA(VLOOKUP(A316,'619'!D:F,3,FALSE),0)</f>
        <v>0</v>
      </c>
      <c r="J316" s="59">
        <f>_xlfn.IFNA(VLOOKUP(A316,'619'!D:Q,14,FALSE),0)</f>
        <v>0</v>
      </c>
      <c r="K316" s="59">
        <f>_xlfn.IFNA(VLOOKUP(A316,'619'!D:Q,14,FALSE),0)</f>
        <v>0</v>
      </c>
      <c r="O316" t="s">
        <v>531</v>
      </c>
      <c r="P316" t="str">
        <f>_xlfn.IFNA(VLOOKUP(A316,IndirectCost!B:L,11,FALSE),"")</f>
        <v/>
      </c>
      <c r="Q316">
        <f t="shared" si="4"/>
        <v>0</v>
      </c>
    </row>
    <row r="317" spans="1:17">
      <c r="A317" t="s">
        <v>259</v>
      </c>
      <c r="B317" t="s">
        <v>910</v>
      </c>
      <c r="C317" t="str">
        <f>VLOOKUP(A317,Districts!A:I,9,FALSE)</f>
        <v>Isaac School District</v>
      </c>
      <c r="D317" t="str">
        <f>VLOOKUP(A317,Districts!A:P,16,FALSE)</f>
        <v>EAYAR4RAM1K3</v>
      </c>
      <c r="F317" s="1">
        <v>45200</v>
      </c>
      <c r="G317" t="s">
        <v>529</v>
      </c>
      <c r="H317" t="s">
        <v>530</v>
      </c>
      <c r="I317" s="59">
        <f>_xlfn.IFNA(VLOOKUP(A317,'619'!D:F,3,FALSE),0)</f>
        <v>57952.24</v>
      </c>
      <c r="J317" s="59">
        <f>_xlfn.IFNA(VLOOKUP(A317,'619'!D:Q,14,FALSE),0)</f>
        <v>81571.39</v>
      </c>
      <c r="K317" s="59">
        <f>_xlfn.IFNA(VLOOKUP(A317,'619'!D:Q,14,FALSE),0)</f>
        <v>81571.39</v>
      </c>
      <c r="O317" t="s">
        <v>531</v>
      </c>
      <c r="P317" t="str">
        <f>_xlfn.IFNA(VLOOKUP(A317,IndirectCost!B:L,11,FALSE),"")</f>
        <v/>
      </c>
      <c r="Q317">
        <f t="shared" si="4"/>
        <v>0</v>
      </c>
    </row>
    <row r="318" spans="1:17">
      <c r="A318" t="s">
        <v>260</v>
      </c>
      <c r="B318" t="s">
        <v>911</v>
      </c>
      <c r="C318" t="str">
        <f>VLOOKUP(A318,Districts!A:I,9,FALSE)</f>
        <v>J O Combs USD 44</v>
      </c>
      <c r="D318" t="str">
        <f>VLOOKUP(A318,Districts!A:P,16,FALSE)</f>
        <v>E7BLEJPLMN41</v>
      </c>
      <c r="F318" s="1">
        <v>45200</v>
      </c>
      <c r="G318" t="s">
        <v>529</v>
      </c>
      <c r="H318" t="s">
        <v>530</v>
      </c>
      <c r="I318" s="59">
        <f>_xlfn.IFNA(VLOOKUP(A318,'619'!D:F,3,FALSE),0)</f>
        <v>5599.22</v>
      </c>
      <c r="J318" s="59">
        <f>_xlfn.IFNA(VLOOKUP(A318,'619'!D:Q,14,FALSE),0)</f>
        <v>6529.93</v>
      </c>
      <c r="K318" s="59">
        <f>_xlfn.IFNA(VLOOKUP(A318,'619'!D:Q,14,FALSE),0)</f>
        <v>6529.93</v>
      </c>
      <c r="O318" t="s">
        <v>531</v>
      </c>
      <c r="P318">
        <f>_xlfn.IFNA(VLOOKUP(A318,IndirectCost!B:L,11,FALSE),"")</f>
        <v>5.56</v>
      </c>
      <c r="Q318">
        <f t="shared" si="4"/>
        <v>5.5599999999999997E-2</v>
      </c>
    </row>
    <row r="319" spans="1:17">
      <c r="A319" t="s">
        <v>912</v>
      </c>
      <c r="B319" t="s">
        <v>913</v>
      </c>
      <c r="C319" t="str">
        <f>VLOOKUP(A319,Districts!A:I,9,FALSE)</f>
        <v>JAMES MADISON PREPARATORY SCHOOL INC</v>
      </c>
      <c r="D319" t="str">
        <f>VLOOKUP(A319,Districts!A:P,16,FALSE)</f>
        <v>UFUXYYTQPKN4</v>
      </c>
      <c r="F319" s="1">
        <v>45200</v>
      </c>
      <c r="G319" t="s">
        <v>529</v>
      </c>
      <c r="H319" t="s">
        <v>530</v>
      </c>
      <c r="I319" s="59">
        <f>_xlfn.IFNA(VLOOKUP(A319,'619'!D:F,3,FALSE),0)</f>
        <v>0</v>
      </c>
      <c r="J319" s="59">
        <f>_xlfn.IFNA(VLOOKUP(A319,'619'!D:Q,14,FALSE),0)</f>
        <v>0</v>
      </c>
      <c r="K319" s="59">
        <f>_xlfn.IFNA(VLOOKUP(A319,'619'!D:Q,14,FALSE),0)</f>
        <v>0</v>
      </c>
      <c r="O319" t="s">
        <v>531</v>
      </c>
      <c r="P319" t="str">
        <f>_xlfn.IFNA(VLOOKUP(A319,IndirectCost!B:L,11,FALSE),"")</f>
        <v/>
      </c>
      <c r="Q319">
        <f t="shared" si="4"/>
        <v>0</v>
      </c>
    </row>
    <row r="320" spans="1:17">
      <c r="A320" t="s">
        <v>914</v>
      </c>
      <c r="B320" t="s">
        <v>915</v>
      </c>
      <c r="C320" t="str">
        <f>VLOOKUP(A320,Districts!A:I,9,FALSE)</f>
        <v>James Sandoval Preparatory High School</v>
      </c>
      <c r="D320" t="str">
        <f>VLOOKUP(A320,Districts!A:P,16,FALSE)</f>
        <v>FF28R47KKMD1</v>
      </c>
      <c r="F320" s="1">
        <v>45200</v>
      </c>
      <c r="G320" t="s">
        <v>529</v>
      </c>
      <c r="H320" t="s">
        <v>530</v>
      </c>
      <c r="I320" s="59">
        <f>_xlfn.IFNA(VLOOKUP(A320,'619'!D:F,3,FALSE),0)</f>
        <v>0</v>
      </c>
      <c r="J320" s="59">
        <f>_xlfn.IFNA(VLOOKUP(A320,'619'!D:Q,14,FALSE),0)</f>
        <v>0</v>
      </c>
      <c r="K320" s="59">
        <f>_xlfn.IFNA(VLOOKUP(A320,'619'!D:Q,14,FALSE),0)</f>
        <v>0</v>
      </c>
      <c r="O320" t="s">
        <v>531</v>
      </c>
      <c r="P320">
        <f>_xlfn.IFNA(VLOOKUP(A320,IndirectCost!B:L,11,FALSE),"")</f>
        <v>8</v>
      </c>
      <c r="Q320">
        <f t="shared" si="4"/>
        <v>0.08</v>
      </c>
    </row>
    <row r="321" spans="1:17">
      <c r="A321" t="s">
        <v>261</v>
      </c>
      <c r="B321" t="s">
        <v>916</v>
      </c>
      <c r="C321" t="str">
        <f>VLOOKUP(A321,Districts!A:I,9,FALSE)</f>
        <v>Joseph City Unified School District 02</v>
      </c>
      <c r="D321" t="str">
        <f>VLOOKUP(A321,Districts!A:P,16,FALSE)</f>
        <v>G7KSKCNSW5Y7</v>
      </c>
      <c r="F321" s="1">
        <v>45200</v>
      </c>
      <c r="G321" t="s">
        <v>529</v>
      </c>
      <c r="H321" t="s">
        <v>530</v>
      </c>
      <c r="I321" s="59">
        <f>_xlfn.IFNA(VLOOKUP(A321,'619'!D:F,3,FALSE),0)</f>
        <v>5877.2</v>
      </c>
      <c r="J321" s="59">
        <f>_xlfn.IFNA(VLOOKUP(A321,'619'!D:Q,14,FALSE),0)</f>
        <v>5877.2</v>
      </c>
      <c r="K321" s="59">
        <f>_xlfn.IFNA(VLOOKUP(A321,'619'!D:Q,14,FALSE),0)</f>
        <v>5877.2</v>
      </c>
      <c r="O321" t="s">
        <v>531</v>
      </c>
      <c r="P321">
        <f>_xlfn.IFNA(VLOOKUP(A321,IndirectCost!B:L,11,FALSE),"")</f>
        <v>8</v>
      </c>
      <c r="Q321">
        <f t="shared" si="4"/>
        <v>0.08</v>
      </c>
    </row>
    <row r="322" spans="1:17">
      <c r="A322" t="s">
        <v>262</v>
      </c>
      <c r="B322" t="s">
        <v>917</v>
      </c>
      <c r="C322" t="str">
        <f>VLOOKUP(A322,Districts!A:I,9,FALSE)</f>
        <v>Juniper Tree Academy</v>
      </c>
      <c r="D322" t="str">
        <f>VLOOKUP(A322,Districts!A:P,16,FALSE)</f>
        <v>P4G2AC384XU8</v>
      </c>
      <c r="F322" s="1">
        <v>45200</v>
      </c>
      <c r="G322" t="s">
        <v>529</v>
      </c>
      <c r="H322" t="s">
        <v>530</v>
      </c>
      <c r="I322" s="59">
        <f>_xlfn.IFNA(VLOOKUP(A322,'619'!D:F,3,FALSE),0)</f>
        <v>5572.1</v>
      </c>
      <c r="J322" s="59">
        <f>_xlfn.IFNA(VLOOKUP(A322,'619'!D:Q,14,FALSE),0)</f>
        <v>5572.1</v>
      </c>
      <c r="K322" s="59">
        <f>_xlfn.IFNA(VLOOKUP(A322,'619'!D:Q,14,FALSE),0)</f>
        <v>5572.1</v>
      </c>
      <c r="O322" t="s">
        <v>531</v>
      </c>
      <c r="P322" t="str">
        <f>_xlfn.IFNA(VLOOKUP(A322,IndirectCost!B:L,11,FALSE),"")</f>
        <v/>
      </c>
      <c r="Q322">
        <f t="shared" si="4"/>
        <v>0</v>
      </c>
    </row>
    <row r="323" spans="1:17">
      <c r="A323" t="s">
        <v>263</v>
      </c>
      <c r="B323" t="s">
        <v>918</v>
      </c>
      <c r="C323" t="str">
        <f>VLOOKUP(A323,Districts!A:I,9,FALSE)</f>
        <v>KAIZEN EDUCATION FOUNDATION</v>
      </c>
      <c r="D323" t="str">
        <f>VLOOKUP(A323,Districts!A:P,16,FALSE)</f>
        <v>TFF4MSKFCXA9</v>
      </c>
      <c r="F323" s="1">
        <v>45200</v>
      </c>
      <c r="G323" t="s">
        <v>529</v>
      </c>
      <c r="H323" t="s">
        <v>530</v>
      </c>
      <c r="I323" s="59">
        <f>_xlfn.IFNA(VLOOKUP(A323,'619'!D:F,3,FALSE),0)</f>
        <v>413.53</v>
      </c>
      <c r="J323" s="59">
        <f>_xlfn.IFNA(VLOOKUP(A323,'619'!D:Q,14,FALSE),0)</f>
        <v>413.53</v>
      </c>
      <c r="K323" s="59">
        <f>_xlfn.IFNA(VLOOKUP(A323,'619'!D:Q,14,FALSE),0)</f>
        <v>413.53</v>
      </c>
      <c r="O323" t="s">
        <v>531</v>
      </c>
      <c r="P323">
        <f>_xlfn.IFNA(VLOOKUP(A323,IndirectCost!B:L,11,FALSE),"")</f>
        <v>8</v>
      </c>
      <c r="Q323">
        <f t="shared" si="4"/>
        <v>0.08</v>
      </c>
    </row>
    <row r="324" spans="1:17">
      <c r="A324" t="s">
        <v>264</v>
      </c>
      <c r="B324" t="s">
        <v>919</v>
      </c>
      <c r="C324" t="str">
        <f>VLOOKUP(A324,Districts!A:I,9,FALSE)</f>
        <v>KAIZEN EDUCATION FOUNDATION</v>
      </c>
      <c r="D324" t="str">
        <f>VLOOKUP(A324,Districts!A:P,16,FALSE)</f>
        <v>LQHVKXGEBUJ1</v>
      </c>
      <c r="F324" s="1">
        <v>45200</v>
      </c>
      <c r="G324" t="s">
        <v>529</v>
      </c>
      <c r="H324" t="s">
        <v>530</v>
      </c>
      <c r="I324" s="59">
        <f>_xlfn.IFNA(VLOOKUP(A324,'619'!D:F,3,FALSE),0)</f>
        <v>551.15</v>
      </c>
      <c r="J324" s="59">
        <f>_xlfn.IFNA(VLOOKUP(A324,'619'!D:Q,14,FALSE),0)</f>
        <v>551.15</v>
      </c>
      <c r="K324" s="59">
        <f>_xlfn.IFNA(VLOOKUP(A324,'619'!D:Q,14,FALSE),0)</f>
        <v>551.15</v>
      </c>
      <c r="O324" t="s">
        <v>531</v>
      </c>
      <c r="P324">
        <f>_xlfn.IFNA(VLOOKUP(A324,IndirectCost!B:L,11,FALSE),"")</f>
        <v>8</v>
      </c>
      <c r="Q324">
        <f t="shared" ref="Q324:Q387" si="5">IFERROR(P324/100,0)</f>
        <v>0.08</v>
      </c>
    </row>
    <row r="325" spans="1:17">
      <c r="A325" t="s">
        <v>265</v>
      </c>
      <c r="B325" t="s">
        <v>920</v>
      </c>
      <c r="C325" t="str">
        <f>VLOOKUP(A325,Districts!A:I,9,FALSE)</f>
        <v>KAIZEN EDUCATION FOUNDATION</v>
      </c>
      <c r="D325" t="str">
        <f>VLOOKUP(A325,Districts!A:P,16,FALSE)</f>
        <v>G8M6YMPA1K27</v>
      </c>
      <c r="F325" s="1">
        <v>45200</v>
      </c>
      <c r="G325" t="s">
        <v>529</v>
      </c>
      <c r="H325" t="s">
        <v>530</v>
      </c>
      <c r="I325" s="59">
        <f>_xlfn.IFNA(VLOOKUP(A325,'619'!D:F,3,FALSE),0)</f>
        <v>618.58000000000004</v>
      </c>
      <c r="J325" s="59">
        <f>_xlfn.IFNA(VLOOKUP(A325,'619'!D:Q,14,FALSE),0)</f>
        <v>618.58000000000004</v>
      </c>
      <c r="K325" s="59">
        <f>_xlfn.IFNA(VLOOKUP(A325,'619'!D:Q,14,FALSE),0)</f>
        <v>618.58000000000004</v>
      </c>
      <c r="O325" t="s">
        <v>531</v>
      </c>
      <c r="P325">
        <f>_xlfn.IFNA(VLOOKUP(A325,IndirectCost!B:L,11,FALSE),"")</f>
        <v>8</v>
      </c>
      <c r="Q325">
        <f t="shared" si="5"/>
        <v>0.08</v>
      </c>
    </row>
    <row r="326" spans="1:17">
      <c r="A326" t="s">
        <v>921</v>
      </c>
      <c r="B326" t="s">
        <v>922</v>
      </c>
      <c r="C326" t="str">
        <f>VLOOKUP(A326,Districts!A:I,9,FALSE)</f>
        <v>KAIZEN EDUCATION FOUNDATION</v>
      </c>
      <c r="D326" t="str">
        <f>VLOOKUP(A326,Districts!A:P,16,FALSE)</f>
        <v>LG84J9DVRGA3</v>
      </c>
      <c r="F326" s="1">
        <v>45200</v>
      </c>
      <c r="G326" t="s">
        <v>529</v>
      </c>
      <c r="H326" t="s">
        <v>530</v>
      </c>
      <c r="I326" s="59">
        <f>_xlfn.IFNA(VLOOKUP(A326,'619'!D:F,3,FALSE),0)</f>
        <v>0</v>
      </c>
      <c r="J326" s="59">
        <f>_xlfn.IFNA(VLOOKUP(A326,'619'!D:Q,14,FALSE),0)</f>
        <v>0</v>
      </c>
      <c r="K326" s="59">
        <f>_xlfn.IFNA(VLOOKUP(A326,'619'!D:Q,14,FALSE),0)</f>
        <v>0</v>
      </c>
      <c r="O326" t="s">
        <v>531</v>
      </c>
      <c r="P326">
        <f>_xlfn.IFNA(VLOOKUP(A326,IndirectCost!B:L,11,FALSE),"")</f>
        <v>8</v>
      </c>
      <c r="Q326">
        <f t="shared" si="5"/>
        <v>0.08</v>
      </c>
    </row>
    <row r="327" spans="1:17">
      <c r="A327" t="s">
        <v>266</v>
      </c>
      <c r="B327" t="s">
        <v>923</v>
      </c>
      <c r="C327" t="str">
        <f>VLOOKUP(A327,Districts!A:I,9,FALSE)</f>
        <v>Kaizen Education Foundation dba Gilbert Arts Academy</v>
      </c>
      <c r="D327" t="str">
        <f>VLOOKUP(A327,Districts!A:P,16,FALSE)</f>
        <v>R8LFKTGJLUT9</v>
      </c>
      <c r="F327" s="1">
        <v>45200</v>
      </c>
      <c r="G327" t="s">
        <v>529</v>
      </c>
      <c r="H327" t="s">
        <v>530</v>
      </c>
      <c r="I327" s="59">
        <f>_xlfn.IFNA(VLOOKUP(A327,'619'!D:F,3,FALSE),0)</f>
        <v>366.12</v>
      </c>
      <c r="J327" s="59">
        <f>_xlfn.IFNA(VLOOKUP(A327,'619'!D:Q,14,FALSE),0)</f>
        <v>366.12</v>
      </c>
      <c r="K327" s="59">
        <f>_xlfn.IFNA(VLOOKUP(A327,'619'!D:Q,14,FALSE),0)</f>
        <v>366.12</v>
      </c>
      <c r="O327" t="s">
        <v>531</v>
      </c>
      <c r="P327">
        <f>_xlfn.IFNA(VLOOKUP(A327,IndirectCost!B:L,11,FALSE),"")</f>
        <v>8</v>
      </c>
      <c r="Q327">
        <f t="shared" si="5"/>
        <v>0.08</v>
      </c>
    </row>
    <row r="328" spans="1:17">
      <c r="A328" t="s">
        <v>267</v>
      </c>
      <c r="B328" t="s">
        <v>924</v>
      </c>
      <c r="C328" t="str">
        <f>VLOOKUP(A328,Districts!A:I,9,FALSE)</f>
        <v>KAIZEN EDUCATION FOUNDATION</v>
      </c>
      <c r="D328" t="str">
        <f>VLOOKUP(A328,Districts!A:P,16,FALSE)</f>
        <v>HUTMRNQJE8C7</v>
      </c>
      <c r="F328" s="1">
        <v>45200</v>
      </c>
      <c r="G328" t="s">
        <v>529</v>
      </c>
      <c r="H328" t="s">
        <v>530</v>
      </c>
      <c r="I328" s="59">
        <f>_xlfn.IFNA(VLOOKUP(A328,'619'!D:F,3,FALSE),0)</f>
        <v>1555.5</v>
      </c>
      <c r="J328" s="59">
        <f>_xlfn.IFNA(VLOOKUP(A328,'619'!D:Q,14,FALSE),0)</f>
        <v>1555.5</v>
      </c>
      <c r="K328" s="59">
        <f>_xlfn.IFNA(VLOOKUP(A328,'619'!D:Q,14,FALSE),0)</f>
        <v>1555.5</v>
      </c>
      <c r="O328" t="s">
        <v>531</v>
      </c>
      <c r="P328">
        <f>_xlfn.IFNA(VLOOKUP(A328,IndirectCost!B:L,11,FALSE),"")</f>
        <v>8</v>
      </c>
      <c r="Q328">
        <f t="shared" si="5"/>
        <v>0.08</v>
      </c>
    </row>
    <row r="329" spans="1:17">
      <c r="A329" t="s">
        <v>268</v>
      </c>
      <c r="B329" t="s">
        <v>925</v>
      </c>
      <c r="C329" t="str">
        <f>VLOOKUP(A329,Districts!A:I,9,FALSE)</f>
        <v>Kaizen Education Foundation dba Liberty Arts Academy</v>
      </c>
      <c r="D329" t="str">
        <f>VLOOKUP(A329,Districts!A:P,16,FALSE)</f>
        <v>LKHGYLLWGKB5</v>
      </c>
      <c r="F329" s="1">
        <v>45200</v>
      </c>
      <c r="G329" t="s">
        <v>529</v>
      </c>
      <c r="H329" t="s">
        <v>530</v>
      </c>
      <c r="I329" s="59">
        <f>_xlfn.IFNA(VLOOKUP(A329,'619'!D:F,3,FALSE),0)</f>
        <v>815.95</v>
      </c>
      <c r="J329" s="59">
        <f>_xlfn.IFNA(VLOOKUP(A329,'619'!D:Q,14,FALSE),0)</f>
        <v>815.95</v>
      </c>
      <c r="K329" s="59">
        <f>_xlfn.IFNA(VLOOKUP(A329,'619'!D:Q,14,FALSE),0)</f>
        <v>815.95</v>
      </c>
      <c r="O329" t="s">
        <v>531</v>
      </c>
      <c r="P329">
        <f>_xlfn.IFNA(VLOOKUP(A329,IndirectCost!B:L,11,FALSE),"")</f>
        <v>8</v>
      </c>
      <c r="Q329">
        <f t="shared" si="5"/>
        <v>0.08</v>
      </c>
    </row>
    <row r="330" spans="1:17">
      <c r="A330" t="s">
        <v>926</v>
      </c>
      <c r="B330" t="s">
        <v>927</v>
      </c>
      <c r="C330" t="str">
        <f>VLOOKUP(A330,Districts!A:I,9,FALSE)</f>
        <v>Kaizen Education Foundation dba Maya High School</v>
      </c>
      <c r="D330" t="str">
        <f>VLOOKUP(A330,Districts!A:P,16,FALSE)</f>
        <v>GHGDG3KJ6J84</v>
      </c>
      <c r="F330" s="1">
        <v>45200</v>
      </c>
      <c r="G330" t="s">
        <v>529</v>
      </c>
      <c r="H330" t="s">
        <v>530</v>
      </c>
      <c r="I330" s="59">
        <f>_xlfn.IFNA(VLOOKUP(A330,'619'!D:F,3,FALSE),0)</f>
        <v>0</v>
      </c>
      <c r="J330" s="59">
        <f>_xlfn.IFNA(VLOOKUP(A330,'619'!D:Q,14,FALSE),0)</f>
        <v>0</v>
      </c>
      <c r="K330" s="59">
        <f>_xlfn.IFNA(VLOOKUP(A330,'619'!D:Q,14,FALSE),0)</f>
        <v>0</v>
      </c>
      <c r="O330" t="s">
        <v>531</v>
      </c>
      <c r="P330">
        <f>_xlfn.IFNA(VLOOKUP(A330,IndirectCost!B:L,11,FALSE),"")</f>
        <v>8</v>
      </c>
      <c r="Q330">
        <f t="shared" si="5"/>
        <v>0.08</v>
      </c>
    </row>
    <row r="331" spans="1:17">
      <c r="A331" t="s">
        <v>928</v>
      </c>
      <c r="B331" t="s">
        <v>929</v>
      </c>
      <c r="C331" t="str">
        <f>VLOOKUP(A331,Districts!A:I,9,FALSE)</f>
        <v>KAIZEN EDUCATION FOUNDATION DBA MISSION HEIGHTS PREPARATORY HIGH SCHOOL</v>
      </c>
      <c r="D331" t="str">
        <f>VLOOKUP(A331,Districts!A:P,16,FALSE)</f>
        <v>ZAH6NJKAG2H7</v>
      </c>
      <c r="F331" s="1">
        <v>45200</v>
      </c>
      <c r="G331" t="s">
        <v>529</v>
      </c>
      <c r="H331" t="s">
        <v>530</v>
      </c>
      <c r="I331" s="59">
        <f>_xlfn.IFNA(VLOOKUP(A331,'619'!D:F,3,FALSE),0)</f>
        <v>0</v>
      </c>
      <c r="J331" s="59">
        <f>_xlfn.IFNA(VLOOKUP(A331,'619'!D:Q,14,FALSE),0)</f>
        <v>0</v>
      </c>
      <c r="K331" s="59">
        <f>_xlfn.IFNA(VLOOKUP(A331,'619'!D:Q,14,FALSE),0)</f>
        <v>0</v>
      </c>
      <c r="O331" t="s">
        <v>531</v>
      </c>
      <c r="P331">
        <f>_xlfn.IFNA(VLOOKUP(A331,IndirectCost!B:L,11,FALSE),"")</f>
        <v>8</v>
      </c>
      <c r="Q331">
        <f t="shared" si="5"/>
        <v>0.08</v>
      </c>
    </row>
    <row r="332" spans="1:17">
      <c r="A332" t="s">
        <v>930</v>
      </c>
      <c r="B332" t="s">
        <v>931</v>
      </c>
      <c r="C332" t="str">
        <f>VLOOKUP(A332,Districts!A:I,9,FALSE)</f>
        <v>KAIZEN EDUCATION FOUNDATION</v>
      </c>
      <c r="D332" t="str">
        <f>VLOOKUP(A332,Districts!A:P,16,FALSE)</f>
        <v>XNXGCQ897MP6</v>
      </c>
      <c r="F332" s="1">
        <v>45200</v>
      </c>
      <c r="G332" t="s">
        <v>529</v>
      </c>
      <c r="H332" t="s">
        <v>530</v>
      </c>
      <c r="I332" s="59">
        <f>_xlfn.IFNA(VLOOKUP(A332,'619'!D:F,3,FALSE),0)</f>
        <v>0</v>
      </c>
      <c r="J332" s="59">
        <f>_xlfn.IFNA(VLOOKUP(A332,'619'!D:Q,14,FALSE),0)</f>
        <v>0</v>
      </c>
      <c r="K332" s="59">
        <f>_xlfn.IFNA(VLOOKUP(A332,'619'!D:Q,14,FALSE),0)</f>
        <v>0</v>
      </c>
      <c r="O332" t="s">
        <v>531</v>
      </c>
      <c r="P332">
        <f>_xlfn.IFNA(VLOOKUP(A332,IndirectCost!B:L,11,FALSE),"")</f>
        <v>8</v>
      </c>
      <c r="Q332">
        <f t="shared" si="5"/>
        <v>0.08</v>
      </c>
    </row>
    <row r="333" spans="1:17">
      <c r="A333" t="s">
        <v>269</v>
      </c>
      <c r="B333" t="s">
        <v>932</v>
      </c>
      <c r="C333" t="str">
        <f>VLOOKUP(A333,Districts!A:I,9,FALSE)</f>
        <v>KAIZEN EDUCATION FOUNDATION</v>
      </c>
      <c r="D333" t="str">
        <f>VLOOKUP(A333,Districts!A:P,16,FALSE)</f>
        <v>MYBLNKYK1M25</v>
      </c>
      <c r="F333" s="1">
        <v>45200</v>
      </c>
      <c r="G333" t="s">
        <v>529</v>
      </c>
      <c r="H333" t="s">
        <v>530</v>
      </c>
      <c r="I333" s="59">
        <f>_xlfn.IFNA(VLOOKUP(A333,'619'!D:F,3,FALSE),0)</f>
        <v>587.20000000000005</v>
      </c>
      <c r="J333" s="59">
        <f>_xlfn.IFNA(VLOOKUP(A333,'619'!D:Q,14,FALSE),0)</f>
        <v>587.20000000000005</v>
      </c>
      <c r="K333" s="59">
        <f>_xlfn.IFNA(VLOOKUP(A333,'619'!D:Q,14,FALSE),0)</f>
        <v>587.20000000000005</v>
      </c>
      <c r="O333" t="s">
        <v>531</v>
      </c>
      <c r="P333">
        <f>_xlfn.IFNA(VLOOKUP(A333,IndirectCost!B:L,11,FALSE),"")</f>
        <v>8</v>
      </c>
      <c r="Q333">
        <f t="shared" si="5"/>
        <v>0.08</v>
      </c>
    </row>
    <row r="334" spans="1:17">
      <c r="A334" t="s">
        <v>933</v>
      </c>
      <c r="B334" t="s">
        <v>934</v>
      </c>
      <c r="C334" t="str">
        <f>VLOOKUP(A334,Districts!A:I,9,FALSE)</f>
        <v>Kaizen Education Foundation dba South Pointe Junior High School</v>
      </c>
      <c r="D334" t="str">
        <f>VLOOKUP(A334,Districts!A:P,16,FALSE)</f>
        <v>PFZQWLL4L9U7</v>
      </c>
      <c r="F334" s="1">
        <v>45200</v>
      </c>
      <c r="G334" t="s">
        <v>529</v>
      </c>
      <c r="H334" t="s">
        <v>530</v>
      </c>
      <c r="I334" s="59">
        <f>_xlfn.IFNA(VLOOKUP(A334,'619'!D:F,3,FALSE),0)</f>
        <v>0</v>
      </c>
      <c r="J334" s="59">
        <f>_xlfn.IFNA(VLOOKUP(A334,'619'!D:Q,14,FALSE),0)</f>
        <v>0</v>
      </c>
      <c r="K334" s="59">
        <f>_xlfn.IFNA(VLOOKUP(A334,'619'!D:Q,14,FALSE),0)</f>
        <v>0</v>
      </c>
      <c r="O334" t="s">
        <v>531</v>
      </c>
      <c r="P334">
        <f>_xlfn.IFNA(VLOOKUP(A334,IndirectCost!B:L,11,FALSE),"")</f>
        <v>8</v>
      </c>
      <c r="Q334">
        <f t="shared" si="5"/>
        <v>0.08</v>
      </c>
    </row>
    <row r="335" spans="1:17">
      <c r="A335" t="s">
        <v>935</v>
      </c>
      <c r="B335" t="s">
        <v>936</v>
      </c>
      <c r="C335" t="str">
        <f>VLOOKUP(A335,Districts!A:I,9,FALSE)</f>
        <v>Kaizen Education Foundation DBA SUMMIT HIGH SCHOOL</v>
      </c>
      <c r="D335" t="str">
        <f>VLOOKUP(A335,Districts!A:P,16,FALSE)</f>
        <v>NHKAEMJRXDV6</v>
      </c>
      <c r="F335" s="1">
        <v>45200</v>
      </c>
      <c r="G335" t="s">
        <v>529</v>
      </c>
      <c r="H335" t="s">
        <v>530</v>
      </c>
      <c r="I335" s="59">
        <f>_xlfn.IFNA(VLOOKUP(A335,'619'!D:F,3,FALSE),0)</f>
        <v>0</v>
      </c>
      <c r="J335" s="59">
        <f>_xlfn.IFNA(VLOOKUP(A335,'619'!D:Q,14,FALSE),0)</f>
        <v>0</v>
      </c>
      <c r="K335" s="59">
        <f>_xlfn.IFNA(VLOOKUP(A335,'619'!D:Q,14,FALSE),0)</f>
        <v>0</v>
      </c>
      <c r="O335" t="s">
        <v>531</v>
      </c>
      <c r="P335">
        <f>_xlfn.IFNA(VLOOKUP(A335,IndirectCost!B:L,11,FALSE),"")</f>
        <v>8</v>
      </c>
      <c r="Q335">
        <f t="shared" si="5"/>
        <v>0.08</v>
      </c>
    </row>
    <row r="336" spans="1:17">
      <c r="A336" t="s">
        <v>937</v>
      </c>
      <c r="B336" t="s">
        <v>938</v>
      </c>
      <c r="C336" t="str">
        <f>VLOOKUP(A336,Districts!A:I,9,FALSE)</f>
        <v>KAIZEN EDUCATION FOUNDATION</v>
      </c>
      <c r="D336" t="str">
        <f>VLOOKUP(A336,Districts!A:P,16,FALSE)</f>
        <v>P47ANUQHGDE4</v>
      </c>
      <c r="F336" s="1">
        <v>45200</v>
      </c>
      <c r="G336" t="s">
        <v>529</v>
      </c>
      <c r="H336" t="s">
        <v>530</v>
      </c>
      <c r="I336" s="59">
        <f>_xlfn.IFNA(VLOOKUP(A336,'619'!D:F,3,FALSE),0)</f>
        <v>0</v>
      </c>
      <c r="J336" s="59">
        <f>_xlfn.IFNA(VLOOKUP(A336,'619'!D:Q,14,FALSE),0)</f>
        <v>0</v>
      </c>
      <c r="K336" s="59">
        <f>_xlfn.IFNA(VLOOKUP(A336,'619'!D:Q,14,FALSE),0)</f>
        <v>0</v>
      </c>
      <c r="O336" t="s">
        <v>531</v>
      </c>
      <c r="P336">
        <f>_xlfn.IFNA(VLOOKUP(A336,IndirectCost!B:L,11,FALSE),"")</f>
        <v>8</v>
      </c>
      <c r="Q336">
        <f t="shared" si="5"/>
        <v>0.08</v>
      </c>
    </row>
    <row r="337" spans="1:17">
      <c r="A337" t="s">
        <v>270</v>
      </c>
      <c r="B337" t="s">
        <v>939</v>
      </c>
      <c r="C337" t="str">
        <f>VLOOKUP(A337,Districts!A:I,9,FALSE)</f>
        <v>Kaizen Education Foundation</v>
      </c>
      <c r="D337" t="str">
        <f>VLOOKUP(A337,Districts!A:P,16,FALSE)</f>
        <v>ETU2MJ4ZBCU5</v>
      </c>
      <c r="F337" s="1">
        <v>45200</v>
      </c>
      <c r="G337" t="s">
        <v>529</v>
      </c>
      <c r="H337" t="s">
        <v>530</v>
      </c>
      <c r="I337" s="59">
        <f>_xlfn.IFNA(VLOOKUP(A337,'619'!D:F,3,FALSE),0)</f>
        <v>416.4</v>
      </c>
      <c r="J337" s="59">
        <f>_xlfn.IFNA(VLOOKUP(A337,'619'!D:Q,14,FALSE),0)</f>
        <v>416.4</v>
      </c>
      <c r="K337" s="59">
        <f>_xlfn.IFNA(VLOOKUP(A337,'619'!D:Q,14,FALSE),0)</f>
        <v>416.4</v>
      </c>
      <c r="O337" t="s">
        <v>531</v>
      </c>
      <c r="P337">
        <f>_xlfn.IFNA(VLOOKUP(A337,IndirectCost!B:L,11,FALSE),"")</f>
        <v>8</v>
      </c>
      <c r="Q337">
        <f t="shared" si="5"/>
        <v>0.08</v>
      </c>
    </row>
    <row r="338" spans="1:17">
      <c r="A338" t="s">
        <v>940</v>
      </c>
      <c r="B338" t="s">
        <v>941</v>
      </c>
      <c r="C338" t="str">
        <f>VLOOKUP(A338,Districts!A:I,9,FALSE)</f>
        <v>Kaizen Education Foundation DBA Vista Grove Preparatory Academy Middle School</v>
      </c>
      <c r="D338" t="str">
        <f>VLOOKUP(A338,Districts!A:P,16,FALSE)</f>
        <v>GJHMMWUS8LK1</v>
      </c>
      <c r="F338" s="1">
        <v>45200</v>
      </c>
      <c r="G338" t="s">
        <v>529</v>
      </c>
      <c r="H338" t="s">
        <v>530</v>
      </c>
      <c r="I338" s="59">
        <f>_xlfn.IFNA(VLOOKUP(A338,'619'!D:F,3,FALSE),0)</f>
        <v>0</v>
      </c>
      <c r="J338" s="59">
        <f>_xlfn.IFNA(VLOOKUP(A338,'619'!D:Q,14,FALSE),0)</f>
        <v>0</v>
      </c>
      <c r="K338" s="59">
        <f>_xlfn.IFNA(VLOOKUP(A338,'619'!D:Q,14,FALSE),0)</f>
        <v>0</v>
      </c>
      <c r="O338" t="s">
        <v>531</v>
      </c>
      <c r="P338">
        <f>_xlfn.IFNA(VLOOKUP(A338,IndirectCost!B:L,11,FALSE),"")</f>
        <v>8</v>
      </c>
      <c r="Q338">
        <f t="shared" si="5"/>
        <v>0.08</v>
      </c>
    </row>
    <row r="339" spans="1:17">
      <c r="A339" t="s">
        <v>271</v>
      </c>
      <c r="B339" t="s">
        <v>942</v>
      </c>
      <c r="C339" t="str">
        <f>VLOOKUP(A339,Districts!A:I,9,FALSE)</f>
        <v>KALEIDOSCOPE SCHOOL</v>
      </c>
      <c r="D339" t="str">
        <f>VLOOKUP(A339,Districts!A:P,16,FALSE)</f>
        <v>JW6MYDLS2939</v>
      </c>
      <c r="F339" s="1">
        <v>45200</v>
      </c>
      <c r="G339" t="s">
        <v>529</v>
      </c>
      <c r="H339" t="s">
        <v>530</v>
      </c>
      <c r="I339" s="59">
        <f>_xlfn.IFNA(VLOOKUP(A339,'619'!D:F,3,FALSE),0)</f>
        <v>1281</v>
      </c>
      <c r="J339" s="59">
        <f>_xlfn.IFNA(VLOOKUP(A339,'619'!D:Q,14,FALSE),0)</f>
        <v>1281</v>
      </c>
      <c r="K339" s="59">
        <f>_xlfn.IFNA(VLOOKUP(A339,'619'!D:Q,14,FALSE),0)</f>
        <v>1281</v>
      </c>
      <c r="O339" t="s">
        <v>531</v>
      </c>
      <c r="P339">
        <f>_xlfn.IFNA(VLOOKUP(A339,IndirectCost!B:L,11,FALSE),"")</f>
        <v>0</v>
      </c>
      <c r="Q339">
        <f t="shared" si="5"/>
        <v>0</v>
      </c>
    </row>
    <row r="340" spans="1:17">
      <c r="A340" t="s">
        <v>272</v>
      </c>
      <c r="B340" t="s">
        <v>943</v>
      </c>
      <c r="C340" t="str">
        <f>VLOOKUP(A340,Districts!A:I,9,FALSE)</f>
        <v>Kayenta Unified Schools</v>
      </c>
      <c r="D340" t="str">
        <f>VLOOKUP(A340,Districts!A:P,16,FALSE)</f>
        <v>T8VAMD7Q7817</v>
      </c>
      <c r="F340" s="1">
        <v>45200</v>
      </c>
      <c r="G340" t="s">
        <v>529</v>
      </c>
      <c r="H340" t="s">
        <v>530</v>
      </c>
      <c r="I340" s="59">
        <f>_xlfn.IFNA(VLOOKUP(A340,'619'!D:F,3,FALSE),0)</f>
        <v>3866.78</v>
      </c>
      <c r="J340" s="59">
        <f>_xlfn.IFNA(VLOOKUP(A340,'619'!D:Q,14,FALSE),0)</f>
        <v>3879.22</v>
      </c>
      <c r="K340" s="59">
        <f>_xlfn.IFNA(VLOOKUP(A340,'619'!D:Q,14,FALSE),0)</f>
        <v>3879.22</v>
      </c>
      <c r="O340" t="s">
        <v>531</v>
      </c>
      <c r="P340">
        <f>_xlfn.IFNA(VLOOKUP(A340,IndirectCost!B:L,11,FALSE),"")</f>
        <v>7.37</v>
      </c>
      <c r="Q340">
        <f t="shared" si="5"/>
        <v>7.3700000000000002E-2</v>
      </c>
    </row>
    <row r="341" spans="1:17">
      <c r="A341" t="s">
        <v>944</v>
      </c>
      <c r="B341" t="s">
        <v>945</v>
      </c>
      <c r="C341" t="str">
        <f>VLOOKUP(A341,Districts!A:I,9,FALSE)</f>
        <v>Kestrel Schools, INCORPORATED DBA Valley Preparatory Academy</v>
      </c>
      <c r="D341" t="str">
        <f>VLOOKUP(A341,Districts!A:P,16,FALSE)</f>
        <v>XHVHKD6XBWF9</v>
      </c>
      <c r="F341" s="1">
        <v>45200</v>
      </c>
      <c r="G341" t="s">
        <v>529</v>
      </c>
      <c r="H341" t="s">
        <v>530</v>
      </c>
      <c r="I341" s="59">
        <f>_xlfn.IFNA(VLOOKUP(A341,'619'!D:F,3,FALSE),0)</f>
        <v>0</v>
      </c>
      <c r="J341" s="59">
        <f>_xlfn.IFNA(VLOOKUP(A341,'619'!D:Q,14,FALSE),0)</f>
        <v>0</v>
      </c>
      <c r="K341" s="59">
        <f>_xlfn.IFNA(VLOOKUP(A341,'619'!D:Q,14,FALSE),0)</f>
        <v>0</v>
      </c>
      <c r="O341" t="s">
        <v>531</v>
      </c>
      <c r="P341">
        <f>_xlfn.IFNA(VLOOKUP(A341,IndirectCost!B:L,11,FALSE),"")</f>
        <v>8</v>
      </c>
      <c r="Q341">
        <f t="shared" si="5"/>
        <v>0.08</v>
      </c>
    </row>
    <row r="342" spans="1:17">
      <c r="A342" t="s">
        <v>946</v>
      </c>
      <c r="B342" t="s">
        <v>947</v>
      </c>
      <c r="C342" t="str">
        <f>VLOOKUP(A342,Districts!A:I,9,FALSE)</f>
        <v>Keystone Montessori Charter School, Inc</v>
      </c>
      <c r="D342" t="str">
        <f>VLOOKUP(A342,Districts!A:P,16,FALSE)</f>
        <v>DLGZZKDEVMN9</v>
      </c>
      <c r="F342" s="1">
        <v>45200</v>
      </c>
      <c r="G342" t="s">
        <v>529</v>
      </c>
      <c r="H342" t="s">
        <v>530</v>
      </c>
      <c r="I342" s="59">
        <f>_xlfn.IFNA(VLOOKUP(A342,'619'!D:F,3,FALSE),0)</f>
        <v>0</v>
      </c>
      <c r="J342" s="59">
        <f>_xlfn.IFNA(VLOOKUP(A342,'619'!D:Q,14,FALSE),0)</f>
        <v>0</v>
      </c>
      <c r="K342" s="59">
        <f>_xlfn.IFNA(VLOOKUP(A342,'619'!D:Q,14,FALSE),0)</f>
        <v>0</v>
      </c>
      <c r="O342" t="s">
        <v>531</v>
      </c>
      <c r="P342" t="str">
        <f>_xlfn.IFNA(VLOOKUP(A342,IndirectCost!B:L,11,FALSE),"")</f>
        <v/>
      </c>
      <c r="Q342">
        <f t="shared" si="5"/>
        <v>0</v>
      </c>
    </row>
    <row r="343" spans="1:17">
      <c r="A343" t="s">
        <v>273</v>
      </c>
      <c r="B343" t="s">
        <v>948</v>
      </c>
      <c r="C343" t="str">
        <f>VLOOKUP(A343,Districts!A:I,9,FALSE)</f>
        <v>Khalsa Family Services</v>
      </c>
      <c r="D343" t="str">
        <f>VLOOKUP(A343,Districts!A:P,16,FALSE)</f>
        <v>XFP2MXRFPJ46</v>
      </c>
      <c r="F343" s="1">
        <v>45200</v>
      </c>
      <c r="G343" t="s">
        <v>529</v>
      </c>
      <c r="H343" t="s">
        <v>530</v>
      </c>
      <c r="I343" s="59">
        <f>_xlfn.IFNA(VLOOKUP(A343,'619'!D:F,3,FALSE),0)</f>
        <v>775.16</v>
      </c>
      <c r="J343" s="59">
        <f>_xlfn.IFNA(VLOOKUP(A343,'619'!D:Q,14,FALSE),0)</f>
        <v>775.16</v>
      </c>
      <c r="K343" s="59">
        <f>_xlfn.IFNA(VLOOKUP(A343,'619'!D:Q,14,FALSE),0)</f>
        <v>775.16</v>
      </c>
      <c r="O343" t="s">
        <v>531</v>
      </c>
      <c r="P343" t="str">
        <f>_xlfn.IFNA(VLOOKUP(A343,IndirectCost!B:L,11,FALSE),"")</f>
        <v/>
      </c>
      <c r="Q343">
        <f t="shared" si="5"/>
        <v>0</v>
      </c>
    </row>
    <row r="344" spans="1:17">
      <c r="A344" t="s">
        <v>274</v>
      </c>
      <c r="B344" t="s">
        <v>949</v>
      </c>
      <c r="C344" t="str">
        <f>VLOOKUP(A344,Districts!A:I,9,FALSE)</f>
        <v>Khalsa Montessori Elementary School</v>
      </c>
      <c r="D344" t="str">
        <f>VLOOKUP(A344,Districts!A:P,16,FALSE)</f>
        <v>EJ16QHJHA8C5</v>
      </c>
      <c r="F344" s="1">
        <v>45200</v>
      </c>
      <c r="G344" t="s">
        <v>529</v>
      </c>
      <c r="H344" t="s">
        <v>530</v>
      </c>
      <c r="I344" s="59">
        <f>_xlfn.IFNA(VLOOKUP(A344,'619'!D:F,3,FALSE),0)</f>
        <v>425.17</v>
      </c>
      <c r="J344" s="59">
        <f>_xlfn.IFNA(VLOOKUP(A344,'619'!D:Q,14,FALSE),0)</f>
        <v>1054.44</v>
      </c>
      <c r="K344" s="59">
        <f>_xlfn.IFNA(VLOOKUP(A344,'619'!D:Q,14,FALSE),0)</f>
        <v>1054.44</v>
      </c>
      <c r="O344" t="s">
        <v>531</v>
      </c>
      <c r="P344" t="str">
        <f>_xlfn.IFNA(VLOOKUP(A344,IndirectCost!B:L,11,FALSE),"")</f>
        <v/>
      </c>
      <c r="Q344">
        <f t="shared" si="5"/>
        <v>0</v>
      </c>
    </row>
    <row r="345" spans="1:17">
      <c r="A345" t="s">
        <v>275</v>
      </c>
      <c r="B345" t="s">
        <v>950</v>
      </c>
      <c r="C345" t="str">
        <f>VLOOKUP(A345,Districts!A:I,9,FALSE)</f>
        <v>Kingman Academy of Learning</v>
      </c>
      <c r="D345" t="str">
        <f>VLOOKUP(A345,Districts!A:P,16,FALSE)</f>
        <v>TSELAMNTU241</v>
      </c>
      <c r="F345" s="1">
        <v>45200</v>
      </c>
      <c r="G345" t="s">
        <v>529</v>
      </c>
      <c r="H345" t="s">
        <v>530</v>
      </c>
      <c r="I345" s="59">
        <f>_xlfn.IFNA(VLOOKUP(A345,'619'!D:F,3,FALSE),0)</f>
        <v>1615.02</v>
      </c>
      <c r="J345" s="59">
        <f>_xlfn.IFNA(VLOOKUP(A345,'619'!D:Q,14,FALSE),0)</f>
        <v>0</v>
      </c>
      <c r="K345" s="59">
        <f>_xlfn.IFNA(VLOOKUP(A345,'619'!D:Q,14,FALSE),0)</f>
        <v>0</v>
      </c>
      <c r="O345" t="s">
        <v>531</v>
      </c>
      <c r="P345" t="str">
        <f>_xlfn.IFNA(VLOOKUP(A345,IndirectCost!B:L,11,FALSE),"")</f>
        <v/>
      </c>
      <c r="Q345">
        <f t="shared" si="5"/>
        <v>0</v>
      </c>
    </row>
    <row r="346" spans="1:17">
      <c r="A346" t="s">
        <v>276</v>
      </c>
      <c r="B346" t="s">
        <v>951</v>
      </c>
      <c r="C346" t="str">
        <f>VLOOKUP(A346,Districts!A:I,9,FALSE)</f>
        <v>Kingman Unified School District No. 20</v>
      </c>
      <c r="D346" t="str">
        <f>VLOOKUP(A346,Districts!A:P,16,FALSE)</f>
        <v>R7SVWNM8LNF5</v>
      </c>
      <c r="F346" s="1">
        <v>45200</v>
      </c>
      <c r="G346" t="s">
        <v>529</v>
      </c>
      <c r="H346" t="s">
        <v>530</v>
      </c>
      <c r="I346" s="59">
        <f>_xlfn.IFNA(VLOOKUP(A346,'619'!D:F,3,FALSE),0)</f>
        <v>32203.8</v>
      </c>
      <c r="J346" s="59">
        <f>_xlfn.IFNA(VLOOKUP(A346,'619'!D:Q,14,FALSE),0)</f>
        <v>66518.600000000006</v>
      </c>
      <c r="K346" s="59">
        <f>_xlfn.IFNA(VLOOKUP(A346,'619'!D:Q,14,FALSE),0)</f>
        <v>66518.600000000006</v>
      </c>
      <c r="O346" t="s">
        <v>531</v>
      </c>
      <c r="P346">
        <f>_xlfn.IFNA(VLOOKUP(A346,IndirectCost!B:L,11,FALSE),"")</f>
        <v>0</v>
      </c>
      <c r="Q346">
        <f t="shared" si="5"/>
        <v>0</v>
      </c>
    </row>
    <row r="347" spans="1:17">
      <c r="A347" t="s">
        <v>277</v>
      </c>
      <c r="B347" t="s">
        <v>952</v>
      </c>
      <c r="C347" t="str">
        <f>VLOOKUP(A347,Districts!A:I,9,FALSE)</f>
        <v>Kirkland Elem School District 23</v>
      </c>
      <c r="D347" t="str">
        <f>VLOOKUP(A347,Districts!A:P,16,FALSE)</f>
        <v>MG3AN1P6VM52</v>
      </c>
      <c r="F347" s="1">
        <v>45200</v>
      </c>
      <c r="G347" t="s">
        <v>529</v>
      </c>
      <c r="H347" t="s">
        <v>530</v>
      </c>
      <c r="I347" s="59">
        <f>_xlfn.IFNA(VLOOKUP(A347,'619'!D:F,3,FALSE),0)</f>
        <v>631.72</v>
      </c>
      <c r="J347" s="59">
        <f>_xlfn.IFNA(VLOOKUP(A347,'619'!D:Q,14,FALSE),0)</f>
        <v>631.72</v>
      </c>
      <c r="K347" s="59">
        <f>_xlfn.IFNA(VLOOKUP(A347,'619'!D:Q,14,FALSE),0)</f>
        <v>631.72</v>
      </c>
      <c r="O347" t="s">
        <v>531</v>
      </c>
      <c r="P347" t="str">
        <f>_xlfn.IFNA(VLOOKUP(A347,IndirectCost!B:L,11,FALSE),"")</f>
        <v/>
      </c>
      <c r="Q347">
        <f t="shared" si="5"/>
        <v>0</v>
      </c>
    </row>
    <row r="348" spans="1:17">
      <c r="A348" t="s">
        <v>278</v>
      </c>
      <c r="B348" t="s">
        <v>953</v>
      </c>
      <c r="C348" t="str">
        <f>VLOOKUP(A348,Districts!A:I,9,FALSE)</f>
        <v>KYRENE ELEMENTARY SCHOOL DISTRICT NO 28</v>
      </c>
      <c r="D348" t="str">
        <f>VLOOKUP(A348,Districts!A:P,16,FALSE)</f>
        <v>CGJAA25W6GZ1</v>
      </c>
      <c r="F348" s="1">
        <v>45200</v>
      </c>
      <c r="G348" t="s">
        <v>529</v>
      </c>
      <c r="H348" t="s">
        <v>530</v>
      </c>
      <c r="I348" s="59">
        <f>_xlfn.IFNA(VLOOKUP(A348,'619'!D:F,3,FALSE),0)</f>
        <v>119926.74</v>
      </c>
      <c r="J348" s="59">
        <f>_xlfn.IFNA(VLOOKUP(A348,'619'!D:Q,14,FALSE),0)</f>
        <v>165735.51</v>
      </c>
      <c r="K348" s="59">
        <f>_xlfn.IFNA(VLOOKUP(A348,'619'!D:Q,14,FALSE),0)</f>
        <v>165735.51</v>
      </c>
      <c r="O348" t="s">
        <v>531</v>
      </c>
      <c r="P348">
        <f>_xlfn.IFNA(VLOOKUP(A348,IndirectCost!B:L,11,FALSE),"")</f>
        <v>3.15</v>
      </c>
      <c r="Q348">
        <f t="shared" si="5"/>
        <v>3.15E-2</v>
      </c>
    </row>
    <row r="349" spans="1:17">
      <c r="A349" t="s">
        <v>954</v>
      </c>
      <c r="B349" t="s">
        <v>955</v>
      </c>
      <c r="C349" t="str">
        <f>VLOOKUP(A349,Districts!A:I,9,FALSE)</f>
        <v>La Paz County</v>
      </c>
      <c r="D349">
        <f>VLOOKUP(A349,Districts!A:P,16,FALSE)</f>
        <v>0</v>
      </c>
      <c r="F349" s="1">
        <v>45200</v>
      </c>
      <c r="G349" t="s">
        <v>529</v>
      </c>
      <c r="H349" t="s">
        <v>530</v>
      </c>
      <c r="I349" s="59">
        <f>_xlfn.IFNA(VLOOKUP(A349,'619'!D:F,3,FALSE),0)</f>
        <v>0</v>
      </c>
      <c r="J349" s="59">
        <f>_xlfn.IFNA(VLOOKUP(A349,'619'!D:Q,14,FALSE),0)</f>
        <v>0</v>
      </c>
      <c r="K349" s="59">
        <f>_xlfn.IFNA(VLOOKUP(A349,'619'!D:Q,14,FALSE),0)</f>
        <v>0</v>
      </c>
      <c r="O349" t="s">
        <v>531</v>
      </c>
      <c r="P349" t="str">
        <f>_xlfn.IFNA(VLOOKUP(A349,IndirectCost!B:L,11,FALSE),"")</f>
        <v/>
      </c>
      <c r="Q349">
        <f t="shared" si="5"/>
        <v>0</v>
      </c>
    </row>
    <row r="350" spans="1:17">
      <c r="A350" t="s">
        <v>279</v>
      </c>
      <c r="B350" t="s">
        <v>956</v>
      </c>
      <c r="C350" t="str">
        <f>VLOOKUP(A350,Districts!A:I,9,FALSE)</f>
        <v>La Tierra Community School</v>
      </c>
      <c r="D350" t="str">
        <f>VLOOKUP(A350,Districts!A:P,16,FALSE)</f>
        <v>HCUPGRJ5JJC1</v>
      </c>
      <c r="F350" s="1">
        <v>45200</v>
      </c>
      <c r="G350" t="s">
        <v>529</v>
      </c>
      <c r="H350" t="s">
        <v>530</v>
      </c>
      <c r="I350" s="59">
        <f>_xlfn.IFNA(VLOOKUP(A350,'619'!D:F,3,FALSE),0)</f>
        <v>271.35000000000002</v>
      </c>
      <c r="J350" s="59">
        <f>_xlfn.IFNA(VLOOKUP(A350,'619'!D:Q,14,FALSE),0)</f>
        <v>0</v>
      </c>
      <c r="K350" s="59">
        <f>_xlfn.IFNA(VLOOKUP(A350,'619'!D:Q,14,FALSE),0)</f>
        <v>0</v>
      </c>
      <c r="O350" t="s">
        <v>531</v>
      </c>
      <c r="P350" t="str">
        <f>_xlfn.IFNA(VLOOKUP(A350,IndirectCost!B:L,11,FALSE),"")</f>
        <v/>
      </c>
      <c r="Q350">
        <f t="shared" si="5"/>
        <v>0</v>
      </c>
    </row>
    <row r="351" spans="1:17">
      <c r="A351" t="s">
        <v>280</v>
      </c>
      <c r="B351" t="s">
        <v>957</v>
      </c>
      <c r="C351" t="str">
        <f>VLOOKUP(A351,Districts!A:I,9,FALSE)</f>
        <v>Lake Havasu Unified School District #1</v>
      </c>
      <c r="D351" t="str">
        <f>VLOOKUP(A351,Districts!A:P,16,FALSE)</f>
        <v>JTDHRRQJKUV6</v>
      </c>
      <c r="F351" s="1">
        <v>45200</v>
      </c>
      <c r="G351" t="s">
        <v>529</v>
      </c>
      <c r="H351" t="s">
        <v>530</v>
      </c>
      <c r="I351" s="59">
        <f>_xlfn.IFNA(VLOOKUP(A351,'619'!D:F,3,FALSE),0)</f>
        <v>24999.56</v>
      </c>
      <c r="J351" s="59">
        <f>_xlfn.IFNA(VLOOKUP(A351,'619'!D:Q,14,FALSE),0)</f>
        <v>44738.39</v>
      </c>
      <c r="K351" s="59">
        <f>_xlfn.IFNA(VLOOKUP(A351,'619'!D:Q,14,FALSE),0)</f>
        <v>44738.39</v>
      </c>
      <c r="O351" t="s">
        <v>531</v>
      </c>
      <c r="P351">
        <f>_xlfn.IFNA(VLOOKUP(A351,IndirectCost!B:L,11,FALSE),"")</f>
        <v>4</v>
      </c>
      <c r="Q351">
        <f t="shared" si="5"/>
        <v>0.04</v>
      </c>
    </row>
    <row r="352" spans="1:17">
      <c r="A352" t="s">
        <v>281</v>
      </c>
      <c r="B352" t="s">
        <v>958</v>
      </c>
      <c r="C352" t="str">
        <f>VLOOKUP(A352,Districts!A:I,9,FALSE)</f>
        <v>Laveen School District 59</v>
      </c>
      <c r="D352" t="str">
        <f>VLOOKUP(A352,Districts!A:P,16,FALSE)</f>
        <v>FS6MEGLSJWS8</v>
      </c>
      <c r="F352" s="1">
        <v>45200</v>
      </c>
      <c r="G352" t="s">
        <v>529</v>
      </c>
      <c r="H352" t="s">
        <v>530</v>
      </c>
      <c r="I352" s="59">
        <f>_xlfn.IFNA(VLOOKUP(A352,'619'!D:F,3,FALSE),0)</f>
        <v>21350.34</v>
      </c>
      <c r="J352" s="59">
        <f>_xlfn.IFNA(VLOOKUP(A352,'619'!D:Q,14,FALSE),0)</f>
        <v>24568.42</v>
      </c>
      <c r="K352" s="59">
        <f>_xlfn.IFNA(VLOOKUP(A352,'619'!D:Q,14,FALSE),0)</f>
        <v>24568.42</v>
      </c>
      <c r="O352" t="s">
        <v>531</v>
      </c>
      <c r="P352">
        <f>_xlfn.IFNA(VLOOKUP(A352,IndirectCost!B:L,11,FALSE),"")</f>
        <v>4.47</v>
      </c>
      <c r="Q352">
        <f t="shared" si="5"/>
        <v>4.4699999999999997E-2</v>
      </c>
    </row>
    <row r="353" spans="1:17">
      <c r="A353" t="s">
        <v>282</v>
      </c>
      <c r="B353" t="s">
        <v>959</v>
      </c>
      <c r="C353" t="str">
        <f>VLOOKUP(A353,Districts!A:I,9,FALSE)</f>
        <v>LEAD Charter Schools</v>
      </c>
      <c r="D353" t="str">
        <f>VLOOKUP(A353,Districts!A:P,16,FALSE)</f>
        <v>PWCNN9MKRB87</v>
      </c>
      <c r="F353" s="1">
        <v>45200</v>
      </c>
      <c r="G353" t="s">
        <v>529</v>
      </c>
      <c r="H353" t="s">
        <v>530</v>
      </c>
      <c r="I353" s="59">
        <f>_xlfn.IFNA(VLOOKUP(A353,'619'!D:F,3,FALSE),0)</f>
        <v>1088.58</v>
      </c>
      <c r="J353" s="59">
        <f>_xlfn.IFNA(VLOOKUP(A353,'619'!D:Q,14,FALSE),0)</f>
        <v>1088.58</v>
      </c>
      <c r="K353" s="59">
        <f>_xlfn.IFNA(VLOOKUP(A353,'619'!D:Q,14,FALSE),0)</f>
        <v>1088.58</v>
      </c>
      <c r="O353" t="s">
        <v>531</v>
      </c>
      <c r="P353">
        <f>_xlfn.IFNA(VLOOKUP(A353,IndirectCost!B:L,11,FALSE),"")</f>
        <v>8</v>
      </c>
      <c r="Q353">
        <f t="shared" si="5"/>
        <v>0.08</v>
      </c>
    </row>
    <row r="354" spans="1:17">
      <c r="A354" t="s">
        <v>283</v>
      </c>
      <c r="B354" t="s">
        <v>960</v>
      </c>
      <c r="C354" t="str">
        <f>VLOOKUP(A354,Districts!A:I,9,FALSE)</f>
        <v>Leading Edge Academy Maricopa</v>
      </c>
      <c r="D354" t="str">
        <f>VLOOKUP(A354,Districts!A:P,16,FALSE)</f>
        <v>YAN5UFNF5594</v>
      </c>
      <c r="F354" s="1">
        <v>45200</v>
      </c>
      <c r="G354" t="s">
        <v>529</v>
      </c>
      <c r="H354" t="s">
        <v>530</v>
      </c>
      <c r="I354" s="59">
        <f>_xlfn.IFNA(VLOOKUP(A354,'619'!D:F,3,FALSE),0)</f>
        <v>801.97</v>
      </c>
      <c r="J354" s="59">
        <f>_xlfn.IFNA(VLOOKUP(A354,'619'!D:Q,14,FALSE),0)</f>
        <v>801.97</v>
      </c>
      <c r="K354" s="59">
        <f>_xlfn.IFNA(VLOOKUP(A354,'619'!D:Q,14,FALSE),0)</f>
        <v>801.97</v>
      </c>
      <c r="O354" t="s">
        <v>531</v>
      </c>
      <c r="P354">
        <f>_xlfn.IFNA(VLOOKUP(A354,IndirectCost!B:L,11,FALSE),"")</f>
        <v>8</v>
      </c>
      <c r="Q354">
        <f t="shared" si="5"/>
        <v>0.08</v>
      </c>
    </row>
    <row r="355" spans="1:17">
      <c r="A355" t="s">
        <v>284</v>
      </c>
      <c r="B355" t="s">
        <v>961</v>
      </c>
      <c r="C355" t="str">
        <f>VLOOKUP(A355,Districts!A:I,9,FALSE)</f>
        <v>Leading Edge Academy Queen Creek</v>
      </c>
      <c r="D355" t="str">
        <f>VLOOKUP(A355,Districts!A:P,16,FALSE)</f>
        <v>QWMTHR8KTNW1</v>
      </c>
      <c r="F355" s="1">
        <v>45200</v>
      </c>
      <c r="G355" t="s">
        <v>529</v>
      </c>
      <c r="H355" t="s">
        <v>530</v>
      </c>
      <c r="I355" s="59">
        <f>_xlfn.IFNA(VLOOKUP(A355,'619'!D:F,3,FALSE),0)</f>
        <v>478.49</v>
      </c>
      <c r="J355" s="59">
        <f>_xlfn.IFNA(VLOOKUP(A355,'619'!D:Q,14,FALSE),0)</f>
        <v>478.49</v>
      </c>
      <c r="K355" s="59">
        <f>_xlfn.IFNA(VLOOKUP(A355,'619'!D:Q,14,FALSE),0)</f>
        <v>478.49</v>
      </c>
      <c r="O355" t="s">
        <v>531</v>
      </c>
      <c r="P355">
        <f>_xlfn.IFNA(VLOOKUP(A355,IndirectCost!B:L,11,FALSE),"")</f>
        <v>8</v>
      </c>
      <c r="Q355">
        <f t="shared" si="5"/>
        <v>0.08</v>
      </c>
    </row>
    <row r="356" spans="1:17">
      <c r="A356" t="s">
        <v>962</v>
      </c>
      <c r="B356" t="s">
        <v>963</v>
      </c>
      <c r="C356" t="str">
        <f>VLOOKUP(A356,Districts!A:I,9,FALSE)</f>
        <v>Legacy Education Group</v>
      </c>
      <c r="D356" t="str">
        <f>VLOOKUP(A356,Districts!A:P,16,FALSE)</f>
        <v>Z8BRMCFAJFB7</v>
      </c>
      <c r="F356" s="1">
        <v>45200</v>
      </c>
      <c r="G356" t="s">
        <v>529</v>
      </c>
      <c r="H356" t="s">
        <v>530</v>
      </c>
      <c r="I356" s="59">
        <f>_xlfn.IFNA(VLOOKUP(A356,'619'!D:F,3,FALSE),0)</f>
        <v>0</v>
      </c>
      <c r="J356" s="59">
        <f>_xlfn.IFNA(VLOOKUP(A356,'619'!D:Q,14,FALSE),0)</f>
        <v>0</v>
      </c>
      <c r="K356" s="59">
        <f>_xlfn.IFNA(VLOOKUP(A356,'619'!D:Q,14,FALSE),0)</f>
        <v>0</v>
      </c>
      <c r="O356" t="s">
        <v>531</v>
      </c>
      <c r="P356">
        <f>_xlfn.IFNA(VLOOKUP(A356,IndirectCost!B:L,11,FALSE),"")</f>
        <v>8</v>
      </c>
      <c r="Q356">
        <f t="shared" si="5"/>
        <v>0.08</v>
      </c>
    </row>
    <row r="357" spans="1:17">
      <c r="A357" t="s">
        <v>285</v>
      </c>
      <c r="B357" t="s">
        <v>964</v>
      </c>
      <c r="C357" t="str">
        <f>VLOOKUP(A357,Districts!A:I,9,FALSE)</f>
        <v>Legacy Traditional Avondale</v>
      </c>
      <c r="D357" t="str">
        <f>VLOOKUP(A357,Districts!A:P,16,FALSE)</f>
        <v>JEJ2VLBQP9Z3</v>
      </c>
      <c r="F357" s="1">
        <v>45200</v>
      </c>
      <c r="G357" t="s">
        <v>529</v>
      </c>
      <c r="H357" t="s">
        <v>530</v>
      </c>
      <c r="I357" s="59">
        <f>_xlfn.IFNA(VLOOKUP(A357,'619'!D:F,3,FALSE),0)</f>
        <v>1220.8800000000001</v>
      </c>
      <c r="J357" s="59">
        <f>_xlfn.IFNA(VLOOKUP(A357,'619'!D:Q,14,FALSE),0)</f>
        <v>2367.0100000000002</v>
      </c>
      <c r="K357" s="59">
        <f>_xlfn.IFNA(VLOOKUP(A357,'619'!D:Q,14,FALSE),0)</f>
        <v>2367.0100000000002</v>
      </c>
      <c r="O357" t="s">
        <v>531</v>
      </c>
      <c r="P357">
        <f>_xlfn.IFNA(VLOOKUP(A357,IndirectCost!B:L,11,FALSE),"")</f>
        <v>8</v>
      </c>
      <c r="Q357">
        <f t="shared" si="5"/>
        <v>0.08</v>
      </c>
    </row>
    <row r="358" spans="1:17">
      <c r="A358" t="s">
        <v>286</v>
      </c>
      <c r="B358" t="s">
        <v>965</v>
      </c>
      <c r="C358" t="str">
        <f>VLOOKUP(A358,Districts!A:I,9,FALSE)</f>
        <v>Legacy Traditional School - Casa Grande</v>
      </c>
      <c r="D358" t="str">
        <f>VLOOKUP(A358,Districts!A:P,16,FALSE)</f>
        <v>ZE7MM2MACN71</v>
      </c>
      <c r="F358" s="1">
        <v>45200</v>
      </c>
      <c r="G358" t="s">
        <v>529</v>
      </c>
      <c r="H358" t="s">
        <v>530</v>
      </c>
      <c r="I358" s="59">
        <f>_xlfn.IFNA(VLOOKUP(A358,'619'!D:F,3,FALSE),0)</f>
        <v>1953.38</v>
      </c>
      <c r="J358" s="59">
        <f>_xlfn.IFNA(VLOOKUP(A358,'619'!D:Q,14,FALSE),0)</f>
        <v>3987.89</v>
      </c>
      <c r="K358" s="59">
        <f>_xlfn.IFNA(VLOOKUP(A358,'619'!D:Q,14,FALSE),0)</f>
        <v>3987.89</v>
      </c>
      <c r="O358" t="s">
        <v>531</v>
      </c>
      <c r="P358">
        <f>_xlfn.IFNA(VLOOKUP(A358,IndirectCost!B:L,11,FALSE),"")</f>
        <v>8</v>
      </c>
      <c r="Q358">
        <f t="shared" si="5"/>
        <v>0.08</v>
      </c>
    </row>
    <row r="359" spans="1:17">
      <c r="A359" t="s">
        <v>287</v>
      </c>
      <c r="B359" t="s">
        <v>966</v>
      </c>
      <c r="C359" t="str">
        <f>VLOOKUP(A359,Districts!A:I,9,FALSE)</f>
        <v>Legacy Traditional School</v>
      </c>
      <c r="D359" t="str">
        <f>VLOOKUP(A359,Districts!A:P,16,FALSE)</f>
        <v>LDNZYPK1KGP9</v>
      </c>
      <c r="F359" s="1">
        <v>45200</v>
      </c>
      <c r="G359" t="s">
        <v>529</v>
      </c>
      <c r="H359" t="s">
        <v>530</v>
      </c>
      <c r="I359" s="59">
        <f>_xlfn.IFNA(VLOOKUP(A359,'619'!D:F,3,FALSE),0)</f>
        <v>1010.73</v>
      </c>
      <c r="J359" s="59">
        <f>_xlfn.IFNA(VLOOKUP(A359,'619'!D:Q,14,FALSE),0)</f>
        <v>2040.05</v>
      </c>
      <c r="K359" s="59">
        <f>_xlfn.IFNA(VLOOKUP(A359,'619'!D:Q,14,FALSE),0)</f>
        <v>2040.05</v>
      </c>
      <c r="O359" t="s">
        <v>531</v>
      </c>
      <c r="P359">
        <f>_xlfn.IFNA(VLOOKUP(A359,IndirectCost!B:L,11,FALSE),"")</f>
        <v>8</v>
      </c>
      <c r="Q359">
        <f t="shared" si="5"/>
        <v>0.08</v>
      </c>
    </row>
    <row r="360" spans="1:17">
      <c r="A360" t="s">
        <v>288</v>
      </c>
      <c r="B360" t="s">
        <v>967</v>
      </c>
      <c r="C360" t="str">
        <f>VLOOKUP(A360,Districts!A:I,9,FALSE)</f>
        <v>Legacy Traditional School - Deer Valley</v>
      </c>
      <c r="D360" t="str">
        <f>VLOOKUP(A360,Districts!A:P,16,FALSE)</f>
        <v>NTF5Y2N6CAX8</v>
      </c>
      <c r="F360" s="1">
        <v>45200</v>
      </c>
      <c r="G360" t="s">
        <v>529</v>
      </c>
      <c r="H360" t="s">
        <v>530</v>
      </c>
      <c r="I360" s="59">
        <f>_xlfn.IFNA(VLOOKUP(A360,'619'!D:F,3,FALSE),0)</f>
        <v>554.30999999999995</v>
      </c>
      <c r="J360" s="59">
        <f>_xlfn.IFNA(VLOOKUP(A360,'619'!D:Q,14,FALSE),0)</f>
        <v>554.30999999999995</v>
      </c>
      <c r="K360" s="59">
        <f>_xlfn.IFNA(VLOOKUP(A360,'619'!D:Q,14,FALSE),0)</f>
        <v>554.30999999999995</v>
      </c>
      <c r="O360" t="s">
        <v>531</v>
      </c>
      <c r="P360">
        <f>_xlfn.IFNA(VLOOKUP(A360,IndirectCost!B:L,11,FALSE),"")</f>
        <v>0</v>
      </c>
      <c r="Q360">
        <f t="shared" si="5"/>
        <v>0</v>
      </c>
    </row>
    <row r="361" spans="1:17">
      <c r="A361" t="s">
        <v>289</v>
      </c>
      <c r="B361" t="s">
        <v>968</v>
      </c>
      <c r="C361" t="str">
        <f>VLOOKUP(A361,Districts!A:I,9,FALSE)</f>
        <v>Legacy Traditional School - East Mesa</v>
      </c>
      <c r="D361" t="str">
        <f>VLOOKUP(A361,Districts!A:P,16,FALSE)</f>
        <v>P3C7KBMYS4T5</v>
      </c>
      <c r="F361" s="1">
        <v>45200</v>
      </c>
      <c r="G361" t="s">
        <v>529</v>
      </c>
      <c r="H361" t="s">
        <v>530</v>
      </c>
      <c r="I361" s="59">
        <f>_xlfn.IFNA(VLOOKUP(A361,'619'!D:F,3,FALSE),0)</f>
        <v>1345.84</v>
      </c>
      <c r="J361" s="59">
        <f>_xlfn.IFNA(VLOOKUP(A361,'619'!D:Q,14,FALSE),0)</f>
        <v>1345.84</v>
      </c>
      <c r="K361" s="59">
        <f>_xlfn.IFNA(VLOOKUP(A361,'619'!D:Q,14,FALSE),0)</f>
        <v>1345.84</v>
      </c>
      <c r="O361" t="s">
        <v>531</v>
      </c>
      <c r="P361">
        <f>_xlfn.IFNA(VLOOKUP(A361,IndirectCost!B:L,11,FALSE),"")</f>
        <v>8</v>
      </c>
      <c r="Q361">
        <f t="shared" si="5"/>
        <v>0.08</v>
      </c>
    </row>
    <row r="362" spans="1:17">
      <c r="A362" t="s">
        <v>290</v>
      </c>
      <c r="B362" t="s">
        <v>969</v>
      </c>
      <c r="C362" t="str">
        <f>VLOOKUP(A362,Districts!A:I,9,FALSE)</f>
        <v>Legacy Traditional School - East Tucson</v>
      </c>
      <c r="D362" t="str">
        <f>VLOOKUP(A362,Districts!A:P,16,FALSE)</f>
        <v>MKM5UX7A2D17</v>
      </c>
      <c r="F362" s="1">
        <v>45200</v>
      </c>
      <c r="G362" t="s">
        <v>529</v>
      </c>
      <c r="H362" t="s">
        <v>530</v>
      </c>
      <c r="I362" s="59">
        <f>_xlfn.IFNA(VLOOKUP(A362,'619'!D:F,3,FALSE),0)</f>
        <v>2769.2</v>
      </c>
      <c r="J362" s="59">
        <f>_xlfn.IFNA(VLOOKUP(A362,'619'!D:Q,14,FALSE),0)</f>
        <v>2933.75</v>
      </c>
      <c r="K362" s="59">
        <f>_xlfn.IFNA(VLOOKUP(A362,'619'!D:Q,14,FALSE),0)</f>
        <v>2933.75</v>
      </c>
      <c r="O362" t="s">
        <v>531</v>
      </c>
      <c r="P362">
        <f>_xlfn.IFNA(VLOOKUP(A362,IndirectCost!B:L,11,FALSE),"")</f>
        <v>0</v>
      </c>
      <c r="Q362">
        <f t="shared" si="5"/>
        <v>0</v>
      </c>
    </row>
    <row r="363" spans="1:17">
      <c r="A363" t="s">
        <v>291</v>
      </c>
      <c r="B363" t="s">
        <v>970</v>
      </c>
      <c r="C363" t="str">
        <f>VLOOKUP(A363,Districts!A:I,9,FALSE)</f>
        <v>Legacy Traditional School - Gilbert</v>
      </c>
      <c r="D363" t="str">
        <f>VLOOKUP(A363,Districts!A:P,16,FALSE)</f>
        <v>MSBFC4M82DY7</v>
      </c>
      <c r="F363" s="1">
        <v>45200</v>
      </c>
      <c r="G363" t="s">
        <v>529</v>
      </c>
      <c r="H363" t="s">
        <v>530</v>
      </c>
      <c r="I363" s="59">
        <f>_xlfn.IFNA(VLOOKUP(A363,'619'!D:F,3,FALSE),0)</f>
        <v>969.61</v>
      </c>
      <c r="J363" s="59">
        <f>_xlfn.IFNA(VLOOKUP(A363,'619'!D:Q,14,FALSE),0)</f>
        <v>1929.63</v>
      </c>
      <c r="K363" s="59">
        <f>_xlfn.IFNA(VLOOKUP(A363,'619'!D:Q,14,FALSE),0)</f>
        <v>1929.63</v>
      </c>
      <c r="O363" t="s">
        <v>531</v>
      </c>
      <c r="P363">
        <f>_xlfn.IFNA(VLOOKUP(A363,IndirectCost!B:L,11,FALSE),"")</f>
        <v>8</v>
      </c>
      <c r="Q363">
        <f t="shared" si="5"/>
        <v>0.08</v>
      </c>
    </row>
    <row r="364" spans="1:17">
      <c r="A364" t="s">
        <v>292</v>
      </c>
      <c r="B364" t="s">
        <v>971</v>
      </c>
      <c r="C364" t="str">
        <f>VLOOKUP(A364,Districts!A:I,9,FALSE)</f>
        <v>Legacy Traditional School - Glendale</v>
      </c>
      <c r="D364" t="str">
        <f>VLOOKUP(A364,Districts!A:P,16,FALSE)</f>
        <v>YGUMC9RWCNJ1</v>
      </c>
      <c r="F364" s="1">
        <v>45200</v>
      </c>
      <c r="G364" t="s">
        <v>529</v>
      </c>
      <c r="H364" t="s">
        <v>530</v>
      </c>
      <c r="I364" s="59">
        <f>_xlfn.IFNA(VLOOKUP(A364,'619'!D:F,3,FALSE),0)</f>
        <v>2028.63</v>
      </c>
      <c r="J364" s="59">
        <f>_xlfn.IFNA(VLOOKUP(A364,'619'!D:Q,14,FALSE),0)</f>
        <v>2028.63</v>
      </c>
      <c r="K364" s="59">
        <f>_xlfn.IFNA(VLOOKUP(A364,'619'!D:Q,14,FALSE),0)</f>
        <v>2028.63</v>
      </c>
      <c r="O364" t="s">
        <v>531</v>
      </c>
      <c r="P364">
        <f>_xlfn.IFNA(VLOOKUP(A364,IndirectCost!B:L,11,FALSE),"")</f>
        <v>8</v>
      </c>
      <c r="Q364">
        <f t="shared" si="5"/>
        <v>0.08</v>
      </c>
    </row>
    <row r="365" spans="1:17">
      <c r="A365" t="s">
        <v>293</v>
      </c>
      <c r="B365" t="s">
        <v>972</v>
      </c>
      <c r="C365" t="str">
        <f>VLOOKUP(A365,Districts!A:I,9,FALSE)</f>
        <v>Legacy Traditional School - Goodyear</v>
      </c>
      <c r="D365" t="str">
        <f>VLOOKUP(A365,Districts!A:P,16,FALSE)</f>
        <v>VMSXC83GZKZ8</v>
      </c>
      <c r="F365" s="1">
        <v>45200</v>
      </c>
      <c r="G365" t="s">
        <v>529</v>
      </c>
      <c r="H365" t="s">
        <v>530</v>
      </c>
      <c r="I365" s="59">
        <f>_xlfn.IFNA(VLOOKUP(A365,'619'!D:F,3,FALSE),0)</f>
        <v>777.85</v>
      </c>
      <c r="J365" s="59">
        <f>_xlfn.IFNA(VLOOKUP(A365,'619'!D:Q,14,FALSE),0)</f>
        <v>1440.94</v>
      </c>
      <c r="K365" s="59">
        <f>_xlfn.IFNA(VLOOKUP(A365,'619'!D:Q,14,FALSE),0)</f>
        <v>1440.94</v>
      </c>
      <c r="O365" t="s">
        <v>531</v>
      </c>
      <c r="P365">
        <f>_xlfn.IFNA(VLOOKUP(A365,IndirectCost!B:L,11,FALSE),"")</f>
        <v>8</v>
      </c>
      <c r="Q365">
        <f t="shared" si="5"/>
        <v>0.08</v>
      </c>
    </row>
    <row r="366" spans="1:17">
      <c r="A366" t="s">
        <v>294</v>
      </c>
      <c r="B366" t="s">
        <v>973</v>
      </c>
      <c r="C366" t="str">
        <f>VLOOKUP(A366,Districts!A:I,9,FALSE)</f>
        <v>LTS Laveen</v>
      </c>
      <c r="D366" t="str">
        <f>VLOOKUP(A366,Districts!A:P,16,FALSE)</f>
        <v>C3JCUCEZ9543</v>
      </c>
      <c r="F366" s="1">
        <v>45200</v>
      </c>
      <c r="G366" t="s">
        <v>529</v>
      </c>
      <c r="H366" t="s">
        <v>530</v>
      </c>
      <c r="I366" s="59">
        <f>_xlfn.IFNA(VLOOKUP(A366,'619'!D:F,3,FALSE),0)</f>
        <v>1423.16</v>
      </c>
      <c r="J366" s="59">
        <f>_xlfn.IFNA(VLOOKUP(A366,'619'!D:Q,14,FALSE),0)</f>
        <v>2948.97</v>
      </c>
      <c r="K366" s="59">
        <f>_xlfn.IFNA(VLOOKUP(A366,'619'!D:Q,14,FALSE),0)</f>
        <v>2948.97</v>
      </c>
      <c r="O366" t="s">
        <v>531</v>
      </c>
      <c r="P366">
        <f>_xlfn.IFNA(VLOOKUP(A366,IndirectCost!B:L,11,FALSE),"")</f>
        <v>8</v>
      </c>
      <c r="Q366">
        <f t="shared" si="5"/>
        <v>0.08</v>
      </c>
    </row>
    <row r="367" spans="1:17">
      <c r="A367" t="s">
        <v>295</v>
      </c>
      <c r="B367" t="s">
        <v>974</v>
      </c>
      <c r="C367" t="str">
        <f>VLOOKUP(A367,Districts!A:I,9,FALSE)</f>
        <v>Legacy Traditional School - Maricopa</v>
      </c>
      <c r="D367" t="str">
        <f>VLOOKUP(A367,Districts!A:P,16,FALSE)</f>
        <v>DJCLRS8GH5F8</v>
      </c>
      <c r="F367" s="1">
        <v>45200</v>
      </c>
      <c r="G367" t="s">
        <v>529</v>
      </c>
      <c r="H367" t="s">
        <v>530</v>
      </c>
      <c r="I367" s="59">
        <f>_xlfn.IFNA(VLOOKUP(A367,'619'!D:F,3,FALSE),0)</f>
        <v>1637.8</v>
      </c>
      <c r="J367" s="59">
        <f>_xlfn.IFNA(VLOOKUP(A367,'619'!D:Q,14,FALSE),0)</f>
        <v>1637.8</v>
      </c>
      <c r="K367" s="59">
        <f>_xlfn.IFNA(VLOOKUP(A367,'619'!D:Q,14,FALSE),0)</f>
        <v>1637.8</v>
      </c>
      <c r="O367" t="s">
        <v>531</v>
      </c>
      <c r="P367">
        <f>_xlfn.IFNA(VLOOKUP(A367,IndirectCost!B:L,11,FALSE),"")</f>
        <v>8</v>
      </c>
      <c r="Q367">
        <f t="shared" si="5"/>
        <v>0.08</v>
      </c>
    </row>
    <row r="368" spans="1:17">
      <c r="A368" t="s">
        <v>296</v>
      </c>
      <c r="B368" t="s">
        <v>975</v>
      </c>
      <c r="C368" t="str">
        <f>VLOOKUP(A368,Districts!A:I,9,FALSE)</f>
        <v>Legacy Traditional School - Mesa</v>
      </c>
      <c r="D368" t="str">
        <f>VLOOKUP(A368,Districts!A:P,16,FALSE)</f>
        <v>KVKTBKN83KN5</v>
      </c>
      <c r="F368" s="1">
        <v>45200</v>
      </c>
      <c r="G368" t="s">
        <v>529</v>
      </c>
      <c r="H368" t="s">
        <v>530</v>
      </c>
      <c r="I368" s="59">
        <f>_xlfn.IFNA(VLOOKUP(A368,'619'!D:F,3,FALSE),0)</f>
        <v>2257.91</v>
      </c>
      <c r="J368" s="59">
        <f>_xlfn.IFNA(VLOOKUP(A368,'619'!D:Q,14,FALSE),0)</f>
        <v>2490.96</v>
      </c>
      <c r="K368" s="59">
        <f>_xlfn.IFNA(VLOOKUP(A368,'619'!D:Q,14,FALSE),0)</f>
        <v>2490.96</v>
      </c>
      <c r="O368" t="s">
        <v>531</v>
      </c>
      <c r="P368">
        <f>_xlfn.IFNA(VLOOKUP(A368,IndirectCost!B:L,11,FALSE),"")</f>
        <v>0</v>
      </c>
      <c r="Q368">
        <f t="shared" si="5"/>
        <v>0</v>
      </c>
    </row>
    <row r="369" spans="1:17">
      <c r="A369" t="s">
        <v>297</v>
      </c>
      <c r="B369" t="s">
        <v>976</v>
      </c>
      <c r="C369" t="str">
        <f>VLOOKUP(A369,Districts!A:I,9,FALSE)</f>
        <v>Legacy Traditional School - North Chandler</v>
      </c>
      <c r="D369" t="str">
        <f>VLOOKUP(A369,Districts!A:P,16,FALSE)</f>
        <v>FJGMFN1DLEC4</v>
      </c>
      <c r="F369" s="1">
        <v>45200</v>
      </c>
      <c r="G369" t="s">
        <v>529</v>
      </c>
      <c r="H369" t="s">
        <v>530</v>
      </c>
      <c r="I369" s="59">
        <f>_xlfn.IFNA(VLOOKUP(A369,'619'!D:F,3,FALSE),0)</f>
        <v>870.21</v>
      </c>
      <c r="J369" s="59">
        <f>_xlfn.IFNA(VLOOKUP(A369,'619'!D:Q,14,FALSE),0)</f>
        <v>1590.38</v>
      </c>
      <c r="K369" s="59">
        <f>_xlfn.IFNA(VLOOKUP(A369,'619'!D:Q,14,FALSE),0)</f>
        <v>1590.38</v>
      </c>
      <c r="O369" t="s">
        <v>531</v>
      </c>
      <c r="P369">
        <f>_xlfn.IFNA(VLOOKUP(A369,IndirectCost!B:L,11,FALSE),"")</f>
        <v>8</v>
      </c>
      <c r="Q369">
        <f t="shared" si="5"/>
        <v>0.08</v>
      </c>
    </row>
    <row r="370" spans="1:17">
      <c r="A370" t="s">
        <v>977</v>
      </c>
      <c r="B370" t="s">
        <v>978</v>
      </c>
      <c r="C370" t="str">
        <f>VLOOKUP(A370,Districts!A:I,9,FALSE)</f>
        <v>Legacy Traditional School - North Phoenix</v>
      </c>
      <c r="D370" t="str">
        <f>VLOOKUP(A370,Districts!A:P,16,FALSE)</f>
        <v>DK37L6E75E73</v>
      </c>
      <c r="F370" s="1">
        <v>45200</v>
      </c>
      <c r="G370" t="s">
        <v>529</v>
      </c>
      <c r="H370" t="s">
        <v>530</v>
      </c>
      <c r="I370" s="59">
        <f>_xlfn.IFNA(VLOOKUP(A370,'619'!D:F,3,FALSE),0)</f>
        <v>0</v>
      </c>
      <c r="J370" s="59">
        <f>_xlfn.IFNA(VLOOKUP(A370,'619'!D:Q,14,FALSE),0)</f>
        <v>0</v>
      </c>
      <c r="K370" s="59">
        <f>_xlfn.IFNA(VLOOKUP(A370,'619'!D:Q,14,FALSE),0)</f>
        <v>0</v>
      </c>
      <c r="O370" t="s">
        <v>531</v>
      </c>
      <c r="P370">
        <f>_xlfn.IFNA(VLOOKUP(A370,IndirectCost!B:L,11,FALSE),"")</f>
        <v>0</v>
      </c>
      <c r="Q370">
        <f t="shared" si="5"/>
        <v>0</v>
      </c>
    </row>
    <row r="371" spans="1:17">
      <c r="A371" t="s">
        <v>298</v>
      </c>
      <c r="B371" t="s">
        <v>979</v>
      </c>
      <c r="C371" t="str">
        <f>VLOOKUP(A371,Districts!A:I,9,FALSE)</f>
        <v>Legacy Traditional NW Tucson</v>
      </c>
      <c r="D371" t="str">
        <f>VLOOKUP(A371,Districts!A:P,16,FALSE)</f>
        <v>GQL5CMK7KZ13</v>
      </c>
      <c r="F371" s="1">
        <v>45200</v>
      </c>
      <c r="G371" t="s">
        <v>529</v>
      </c>
      <c r="H371" t="s">
        <v>530</v>
      </c>
      <c r="I371" s="59">
        <f>_xlfn.IFNA(VLOOKUP(A371,'619'!D:F,3,FALSE),0)</f>
        <v>1345.4</v>
      </c>
      <c r="J371" s="59">
        <f>_xlfn.IFNA(VLOOKUP(A371,'619'!D:Q,14,FALSE),0)</f>
        <v>2727.85</v>
      </c>
      <c r="K371" s="59">
        <f>_xlfn.IFNA(VLOOKUP(A371,'619'!D:Q,14,FALSE),0)</f>
        <v>2727.85</v>
      </c>
      <c r="O371" t="s">
        <v>531</v>
      </c>
      <c r="P371">
        <f>_xlfn.IFNA(VLOOKUP(A371,IndirectCost!B:L,11,FALSE),"")</f>
        <v>8</v>
      </c>
      <c r="Q371">
        <f t="shared" si="5"/>
        <v>0.08</v>
      </c>
    </row>
    <row r="372" spans="1:17">
      <c r="A372" t="s">
        <v>299</v>
      </c>
      <c r="B372" t="s">
        <v>980</v>
      </c>
      <c r="C372" t="str">
        <f>VLOOKUP(A372,Districts!A:I,9,FALSE)</f>
        <v>Legacy Traditional School - Peoria</v>
      </c>
      <c r="D372" t="str">
        <f>VLOOKUP(A372,Districts!A:P,16,FALSE)</f>
        <v>NN9UKVDMLK45</v>
      </c>
      <c r="F372" s="1">
        <v>45200</v>
      </c>
      <c r="G372" t="s">
        <v>529</v>
      </c>
      <c r="H372" t="s">
        <v>530</v>
      </c>
      <c r="I372" s="59">
        <f>_xlfn.IFNA(VLOOKUP(A372,'619'!D:F,3,FALSE),0)</f>
        <v>1151.3900000000001</v>
      </c>
      <c r="J372" s="59">
        <f>_xlfn.IFNA(VLOOKUP(A372,'619'!D:Q,14,FALSE),0)</f>
        <v>2445.9</v>
      </c>
      <c r="K372" s="59">
        <f>_xlfn.IFNA(VLOOKUP(A372,'619'!D:Q,14,FALSE),0)</f>
        <v>2445.9</v>
      </c>
      <c r="O372" t="s">
        <v>531</v>
      </c>
      <c r="P372">
        <f>_xlfn.IFNA(VLOOKUP(A372,IndirectCost!B:L,11,FALSE),"")</f>
        <v>8</v>
      </c>
      <c r="Q372">
        <f t="shared" si="5"/>
        <v>0.08</v>
      </c>
    </row>
    <row r="373" spans="1:17">
      <c r="A373" t="s">
        <v>300</v>
      </c>
      <c r="B373" t="s">
        <v>981</v>
      </c>
      <c r="C373" t="str">
        <f>VLOOKUP(A373,Districts!A:I,9,FALSE)</f>
        <v>LTS- Phoenix</v>
      </c>
      <c r="D373" t="str">
        <f>VLOOKUP(A373,Districts!A:P,16,FALSE)</f>
        <v>VL4EUKV84AN7</v>
      </c>
      <c r="F373" s="1">
        <v>45200</v>
      </c>
      <c r="G373" t="s">
        <v>529</v>
      </c>
      <c r="H373" t="s">
        <v>530</v>
      </c>
      <c r="I373" s="59">
        <f>_xlfn.IFNA(VLOOKUP(A373,'619'!D:F,3,FALSE),0)</f>
        <v>3054.81</v>
      </c>
      <c r="J373" s="59">
        <f>_xlfn.IFNA(VLOOKUP(A373,'619'!D:Q,14,FALSE),0)</f>
        <v>5847.51</v>
      </c>
      <c r="K373" s="59">
        <f>_xlfn.IFNA(VLOOKUP(A373,'619'!D:Q,14,FALSE),0)</f>
        <v>5847.51</v>
      </c>
      <c r="O373" t="s">
        <v>531</v>
      </c>
      <c r="P373">
        <f>_xlfn.IFNA(VLOOKUP(A373,IndirectCost!B:L,11,FALSE),"")</f>
        <v>8</v>
      </c>
      <c r="Q373">
        <f t="shared" si="5"/>
        <v>0.08</v>
      </c>
    </row>
    <row r="374" spans="1:17">
      <c r="A374" t="s">
        <v>301</v>
      </c>
      <c r="B374" t="s">
        <v>982</v>
      </c>
      <c r="C374" t="str">
        <f>VLOOKUP(A374,Districts!A:I,9,FALSE)</f>
        <v>Legacy Traditional School - Queen Creek</v>
      </c>
      <c r="D374" t="str">
        <f>VLOOKUP(A374,Districts!A:P,16,FALSE)</f>
        <v>U198V74CN1E3</v>
      </c>
      <c r="F374" s="1">
        <v>45200</v>
      </c>
      <c r="G374" t="s">
        <v>529</v>
      </c>
      <c r="H374" t="s">
        <v>530</v>
      </c>
      <c r="I374" s="59">
        <f>_xlfn.IFNA(VLOOKUP(A374,'619'!D:F,3,FALSE),0)</f>
        <v>834.06</v>
      </c>
      <c r="J374" s="59">
        <f>_xlfn.IFNA(VLOOKUP(A374,'619'!D:Q,14,FALSE),0)</f>
        <v>1601.04</v>
      </c>
      <c r="K374" s="59">
        <f>_xlfn.IFNA(VLOOKUP(A374,'619'!D:Q,14,FALSE),0)</f>
        <v>1601.04</v>
      </c>
      <c r="O374" t="s">
        <v>531</v>
      </c>
      <c r="P374">
        <f>_xlfn.IFNA(VLOOKUP(A374,IndirectCost!B:L,11,FALSE),"")</f>
        <v>8</v>
      </c>
      <c r="Q374">
        <f t="shared" si="5"/>
        <v>0.08</v>
      </c>
    </row>
    <row r="375" spans="1:17">
      <c r="A375" t="s">
        <v>302</v>
      </c>
      <c r="B375" t="s">
        <v>983</v>
      </c>
      <c r="C375" t="str">
        <f>VLOOKUP(A375,Districts!A:I,9,FALSE)</f>
        <v>Legacy Traditional School - Surprise</v>
      </c>
      <c r="D375" t="str">
        <f>VLOOKUP(A375,Districts!A:P,16,FALSE)</f>
        <v>GRZNUZZQ5W26</v>
      </c>
      <c r="F375" s="1">
        <v>45200</v>
      </c>
      <c r="G375" t="s">
        <v>529</v>
      </c>
      <c r="H375" t="s">
        <v>530</v>
      </c>
      <c r="I375" s="59">
        <f>_xlfn.IFNA(VLOOKUP(A375,'619'!D:F,3,FALSE),0)</f>
        <v>2577.5700000000002</v>
      </c>
      <c r="J375" s="59">
        <f>_xlfn.IFNA(VLOOKUP(A375,'619'!D:Q,14,FALSE),0)</f>
        <v>5187.82</v>
      </c>
      <c r="K375" s="59">
        <f>_xlfn.IFNA(VLOOKUP(A375,'619'!D:Q,14,FALSE),0)</f>
        <v>5187.82</v>
      </c>
      <c r="O375" t="s">
        <v>531</v>
      </c>
      <c r="P375">
        <f>_xlfn.IFNA(VLOOKUP(A375,IndirectCost!B:L,11,FALSE),"")</f>
        <v>8</v>
      </c>
      <c r="Q375">
        <f t="shared" si="5"/>
        <v>0.08</v>
      </c>
    </row>
    <row r="376" spans="1:17">
      <c r="A376" t="s">
        <v>303</v>
      </c>
      <c r="B376" t="s">
        <v>984</v>
      </c>
      <c r="C376" t="str">
        <f>VLOOKUP(A376,Districts!A:I,9,FALSE)</f>
        <v>Legacy Traditional School - West Surprise</v>
      </c>
      <c r="D376" t="str">
        <f>VLOOKUP(A376,Districts!A:P,16,FALSE)</f>
        <v>WLGBMMFQTEA8</v>
      </c>
      <c r="F376" s="1">
        <v>45200</v>
      </c>
      <c r="G376" t="s">
        <v>529</v>
      </c>
      <c r="H376" t="s">
        <v>530</v>
      </c>
      <c r="I376" s="59">
        <f>_xlfn.IFNA(VLOOKUP(A376,'619'!D:F,3,FALSE),0)</f>
        <v>1638.91</v>
      </c>
      <c r="J376" s="59">
        <f>_xlfn.IFNA(VLOOKUP(A376,'619'!D:Q,14,FALSE),0)</f>
        <v>3072.6</v>
      </c>
      <c r="K376" s="59">
        <f>_xlfn.IFNA(VLOOKUP(A376,'619'!D:Q,14,FALSE),0)</f>
        <v>3072.6</v>
      </c>
      <c r="O376" t="s">
        <v>531</v>
      </c>
      <c r="P376">
        <f>_xlfn.IFNA(VLOOKUP(A376,IndirectCost!B:L,11,FALSE),"")</f>
        <v>0</v>
      </c>
      <c r="Q376">
        <f t="shared" si="5"/>
        <v>0</v>
      </c>
    </row>
    <row r="377" spans="1:17">
      <c r="A377" t="s">
        <v>304</v>
      </c>
      <c r="B377" t="s">
        <v>985</v>
      </c>
      <c r="C377" t="str">
        <f>VLOOKUP(A377,Districts!A:I,9,FALSE)</f>
        <v>Legacy Traditional School - San Tan</v>
      </c>
      <c r="D377" t="str">
        <f>VLOOKUP(A377,Districts!A:P,16,FALSE)</f>
        <v>JMSZPNY9JEF4</v>
      </c>
      <c r="F377" s="1">
        <v>45200</v>
      </c>
      <c r="G377" t="s">
        <v>529</v>
      </c>
      <c r="H377" t="s">
        <v>530</v>
      </c>
      <c r="I377" s="59">
        <f>_xlfn.IFNA(VLOOKUP(A377,'619'!D:F,3,FALSE),0)</f>
        <v>771.07</v>
      </c>
      <c r="J377" s="59">
        <f>_xlfn.IFNA(VLOOKUP(A377,'619'!D:Q,14,FALSE),0)</f>
        <v>771.07</v>
      </c>
      <c r="K377" s="59">
        <f>_xlfn.IFNA(VLOOKUP(A377,'619'!D:Q,14,FALSE),0)</f>
        <v>771.07</v>
      </c>
      <c r="O377" t="s">
        <v>531</v>
      </c>
      <c r="P377" t="str">
        <f>_xlfn.IFNA(VLOOKUP(A377,IndirectCost!B:L,11,FALSE),"")</f>
        <v/>
      </c>
      <c r="Q377">
        <f t="shared" si="5"/>
        <v>0</v>
      </c>
    </row>
    <row r="378" spans="1:17">
      <c r="A378" t="s">
        <v>305</v>
      </c>
      <c r="B378" t="s">
        <v>986</v>
      </c>
      <c r="C378" t="str">
        <f>VLOOKUP(A378,Districts!A:I,9,FALSE)</f>
        <v>Leman Academy of Excellence</v>
      </c>
      <c r="D378" t="str">
        <f>VLOOKUP(A378,Districts!A:P,16,FALSE)</f>
        <v>QPP7RWMLP6Z2</v>
      </c>
      <c r="F378" s="1">
        <v>45200</v>
      </c>
      <c r="G378" t="s">
        <v>529</v>
      </c>
      <c r="H378" t="s">
        <v>530</v>
      </c>
      <c r="I378" s="59">
        <f>_xlfn.IFNA(VLOOKUP(A378,'619'!D:F,3,FALSE),0)</f>
        <v>12057.45</v>
      </c>
      <c r="J378" s="59">
        <f>_xlfn.IFNA(VLOOKUP(A378,'619'!D:Q,14,FALSE),0)</f>
        <v>0</v>
      </c>
      <c r="K378" s="59">
        <f>_xlfn.IFNA(VLOOKUP(A378,'619'!D:Q,14,FALSE),0)</f>
        <v>0</v>
      </c>
      <c r="O378" t="s">
        <v>531</v>
      </c>
      <c r="P378" t="str">
        <f>_xlfn.IFNA(VLOOKUP(A378,IndirectCost!B:L,11,FALSE),"")</f>
        <v/>
      </c>
      <c r="Q378">
        <f t="shared" si="5"/>
        <v>0</v>
      </c>
    </row>
    <row r="379" spans="1:17">
      <c r="A379" t="s">
        <v>306</v>
      </c>
      <c r="B379" t="s">
        <v>987</v>
      </c>
      <c r="C379" t="str">
        <f>VLOOKUP(A379,Districts!A:I,9,FALSE)</f>
        <v>Liberty Elementary School District 25</v>
      </c>
      <c r="D379" t="str">
        <f>VLOOKUP(A379,Districts!A:P,16,FALSE)</f>
        <v>ZZMXFA5VNW55</v>
      </c>
      <c r="F379" s="1">
        <v>45200</v>
      </c>
      <c r="G379" t="s">
        <v>529</v>
      </c>
      <c r="H379" t="s">
        <v>530</v>
      </c>
      <c r="I379" s="59">
        <f>_xlfn.IFNA(VLOOKUP(A379,'619'!D:F,3,FALSE),0)</f>
        <v>15809.91</v>
      </c>
      <c r="J379" s="59">
        <f>_xlfn.IFNA(VLOOKUP(A379,'619'!D:Q,14,FALSE),0)</f>
        <v>28676.49</v>
      </c>
      <c r="K379" s="59">
        <f>_xlfn.IFNA(VLOOKUP(A379,'619'!D:Q,14,FALSE),0)</f>
        <v>28676.49</v>
      </c>
      <c r="O379" t="s">
        <v>531</v>
      </c>
      <c r="P379">
        <f>_xlfn.IFNA(VLOOKUP(A379,IndirectCost!B:L,11,FALSE),"")</f>
        <v>5.54</v>
      </c>
      <c r="Q379">
        <f t="shared" si="5"/>
        <v>5.5399999999999998E-2</v>
      </c>
    </row>
    <row r="380" spans="1:17">
      <c r="A380" t="s">
        <v>988</v>
      </c>
      <c r="B380" t="s">
        <v>989</v>
      </c>
      <c r="C380" t="str">
        <f>VLOOKUP(A380,Districts!A:I,9,FALSE)</f>
        <v>Gila Co Office of Education, dba Liberty High School</v>
      </c>
      <c r="D380" t="str">
        <f>VLOOKUP(A380,Districts!A:P,16,FALSE)</f>
        <v>K7S9NR3FE3L9</v>
      </c>
      <c r="F380" s="1">
        <v>45200</v>
      </c>
      <c r="G380" t="s">
        <v>529</v>
      </c>
      <c r="H380" t="s">
        <v>530</v>
      </c>
      <c r="I380" s="59">
        <f>_xlfn.IFNA(VLOOKUP(A380,'619'!D:F,3,FALSE),0)</f>
        <v>0</v>
      </c>
      <c r="J380" s="59">
        <f>_xlfn.IFNA(VLOOKUP(A380,'619'!D:Q,14,FALSE),0)</f>
        <v>0</v>
      </c>
      <c r="K380" s="59">
        <f>_xlfn.IFNA(VLOOKUP(A380,'619'!D:Q,14,FALSE),0)</f>
        <v>0</v>
      </c>
      <c r="O380" t="s">
        <v>531</v>
      </c>
      <c r="P380" t="str">
        <f>_xlfn.IFNA(VLOOKUP(A380,IndirectCost!B:L,11,FALSE),"")</f>
        <v/>
      </c>
      <c r="Q380">
        <f t="shared" si="5"/>
        <v>0</v>
      </c>
    </row>
    <row r="381" spans="1:17">
      <c r="A381" t="s">
        <v>307</v>
      </c>
      <c r="B381" t="s">
        <v>990</v>
      </c>
      <c r="C381" t="str">
        <f>VLOOKUP(A381,Districts!A:I,9,FALSE)</f>
        <v>Liberty Leadership Academy</v>
      </c>
      <c r="D381" t="str">
        <f>VLOOKUP(A381,Districts!A:P,16,FALSE)</f>
        <v>UKFPC36LDYQ3</v>
      </c>
      <c r="F381" s="1">
        <v>45200</v>
      </c>
      <c r="G381" t="s">
        <v>529</v>
      </c>
      <c r="H381" t="s">
        <v>530</v>
      </c>
      <c r="I381" s="59">
        <f>_xlfn.IFNA(VLOOKUP(A381,'619'!D:F,3,FALSE),0)</f>
        <v>40.619999999999997</v>
      </c>
      <c r="J381" s="59">
        <f>_xlfn.IFNA(VLOOKUP(A381,'619'!D:Q,14,FALSE),0)</f>
        <v>40.619999999999997</v>
      </c>
      <c r="K381" s="59">
        <f>_xlfn.IFNA(VLOOKUP(A381,'619'!D:Q,14,FALSE),0)</f>
        <v>40.619999999999997</v>
      </c>
      <c r="O381" t="s">
        <v>531</v>
      </c>
      <c r="P381" t="str">
        <f>_xlfn.IFNA(VLOOKUP(A381,IndirectCost!B:L,11,FALSE),"")</f>
        <v/>
      </c>
      <c r="Q381">
        <f t="shared" si="5"/>
        <v>0</v>
      </c>
    </row>
    <row r="382" spans="1:17">
      <c r="A382" t="s">
        <v>308</v>
      </c>
      <c r="B382" t="s">
        <v>991</v>
      </c>
      <c r="C382" t="str">
        <f>VLOOKUP(A382,Districts!A:I,9,FALSE)</f>
        <v>LIBERTY TRADITIONAL CHARTER SCHOOL</v>
      </c>
      <c r="D382" t="str">
        <f>VLOOKUP(A382,Districts!A:P,16,FALSE)</f>
        <v>YTSMFKSH8UD3</v>
      </c>
      <c r="F382" s="1">
        <v>45200</v>
      </c>
      <c r="G382" t="s">
        <v>529</v>
      </c>
      <c r="H382" t="s">
        <v>530</v>
      </c>
      <c r="I382" s="59">
        <f>_xlfn.IFNA(VLOOKUP(A382,'619'!D:F,3,FALSE),0)</f>
        <v>1487.74</v>
      </c>
      <c r="J382" s="59">
        <f>_xlfn.IFNA(VLOOKUP(A382,'619'!D:Q,14,FALSE),0)</f>
        <v>2118.09</v>
      </c>
      <c r="K382" s="59">
        <f>_xlfn.IFNA(VLOOKUP(A382,'619'!D:Q,14,FALSE),0)</f>
        <v>2118.09</v>
      </c>
      <c r="O382" t="s">
        <v>531</v>
      </c>
      <c r="P382" t="str">
        <f>_xlfn.IFNA(VLOOKUP(A382,IndirectCost!B:L,11,FALSE),"")</f>
        <v/>
      </c>
      <c r="Q382">
        <f t="shared" si="5"/>
        <v>0</v>
      </c>
    </row>
    <row r="383" spans="1:17">
      <c r="A383" t="s">
        <v>992</v>
      </c>
      <c r="B383" t="s">
        <v>993</v>
      </c>
      <c r="C383" t="str">
        <f>VLOOKUP(A383,Districts!A:I,9,FALSE)</f>
        <v>Lincoln Preparatory Academy</v>
      </c>
      <c r="D383" t="str">
        <f>VLOOKUP(A383,Districts!A:P,16,FALSE)</f>
        <v>DHE9LJP3AFA5</v>
      </c>
      <c r="F383" s="1">
        <v>45200</v>
      </c>
      <c r="G383" t="s">
        <v>529</v>
      </c>
      <c r="H383" t="s">
        <v>530</v>
      </c>
      <c r="I383" s="59">
        <f>_xlfn.IFNA(VLOOKUP(A383,'619'!D:F,3,FALSE),0)</f>
        <v>0</v>
      </c>
      <c r="J383" s="59">
        <f>_xlfn.IFNA(VLOOKUP(A383,'619'!D:Q,14,FALSE),0)</f>
        <v>0</v>
      </c>
      <c r="K383" s="59">
        <f>_xlfn.IFNA(VLOOKUP(A383,'619'!D:Q,14,FALSE),0)</f>
        <v>0</v>
      </c>
      <c r="O383" t="s">
        <v>531</v>
      </c>
      <c r="P383">
        <f>_xlfn.IFNA(VLOOKUP(A383,IndirectCost!B:L,11,FALSE),"")</f>
        <v>8</v>
      </c>
      <c r="Q383">
        <f t="shared" si="5"/>
        <v>0.08</v>
      </c>
    </row>
    <row r="384" spans="1:17">
      <c r="A384" t="s">
        <v>309</v>
      </c>
      <c r="B384" t="s">
        <v>994</v>
      </c>
      <c r="C384" t="str">
        <f>VLOOKUP(A384,Districts!A:I,9,FALSE)</f>
        <v>Litchfield Elementary School District #79</v>
      </c>
      <c r="D384" t="str">
        <f>VLOOKUP(A384,Districts!A:P,16,FALSE)</f>
        <v>ZNVSNVF551X6</v>
      </c>
      <c r="F384" s="1">
        <v>45200</v>
      </c>
      <c r="G384" t="s">
        <v>529</v>
      </c>
      <c r="H384" t="s">
        <v>530</v>
      </c>
      <c r="I384" s="59">
        <f>_xlfn.IFNA(VLOOKUP(A384,'619'!D:F,3,FALSE),0)</f>
        <v>39923.56</v>
      </c>
      <c r="J384" s="59">
        <f>_xlfn.IFNA(VLOOKUP(A384,'619'!D:Q,14,FALSE),0)</f>
        <v>58768.57</v>
      </c>
      <c r="K384" s="59">
        <f>_xlfn.IFNA(VLOOKUP(A384,'619'!D:Q,14,FALSE),0)</f>
        <v>58768.57</v>
      </c>
      <c r="O384" t="s">
        <v>531</v>
      </c>
      <c r="P384">
        <f>_xlfn.IFNA(VLOOKUP(A384,IndirectCost!B:L,11,FALSE),"")</f>
        <v>2.1800000000000002</v>
      </c>
      <c r="Q384">
        <f t="shared" si="5"/>
        <v>2.18E-2</v>
      </c>
    </row>
    <row r="385" spans="1:17">
      <c r="A385" t="s">
        <v>310</v>
      </c>
      <c r="B385" t="s">
        <v>995</v>
      </c>
      <c r="C385" t="str">
        <f>VLOOKUP(A385,Districts!A:I,9,FALSE)</f>
        <v>Little Lamb Community School</v>
      </c>
      <c r="D385" t="str">
        <f>VLOOKUP(A385,Districts!A:P,16,FALSE)</f>
        <v>PC6HGFYUMLK3</v>
      </c>
      <c r="F385" s="1">
        <v>45200</v>
      </c>
      <c r="G385" t="s">
        <v>529</v>
      </c>
      <c r="H385" t="s">
        <v>530</v>
      </c>
      <c r="I385" s="59">
        <f>_xlfn.IFNA(VLOOKUP(A385,'619'!D:F,3,FALSE),0)</f>
        <v>428.76</v>
      </c>
      <c r="J385" s="59">
        <f>_xlfn.IFNA(VLOOKUP(A385,'619'!D:Q,14,FALSE),0)</f>
        <v>428.76</v>
      </c>
      <c r="K385" s="59">
        <f>_xlfn.IFNA(VLOOKUP(A385,'619'!D:Q,14,FALSE),0)</f>
        <v>428.76</v>
      </c>
      <c r="O385" t="s">
        <v>531</v>
      </c>
      <c r="P385" t="str">
        <f>_xlfn.IFNA(VLOOKUP(A385,IndirectCost!B:L,11,FALSE),"")</f>
        <v/>
      </c>
      <c r="Q385">
        <f t="shared" si="5"/>
        <v>0</v>
      </c>
    </row>
    <row r="386" spans="1:17">
      <c r="A386" t="s">
        <v>311</v>
      </c>
      <c r="B386" t="s">
        <v>996</v>
      </c>
      <c r="C386" t="str">
        <f>VLOOKUP(A386,Districts!A:I,9,FALSE)</f>
        <v>Littlefield Unified School District #9</v>
      </c>
      <c r="D386" t="str">
        <f>VLOOKUP(A386,Districts!A:P,16,FALSE)</f>
        <v>NMJKVL9Z3AT8</v>
      </c>
      <c r="F386" s="1">
        <v>45200</v>
      </c>
      <c r="G386" t="s">
        <v>529</v>
      </c>
      <c r="H386" t="s">
        <v>530</v>
      </c>
      <c r="I386" s="59">
        <f>_xlfn.IFNA(VLOOKUP(A386,'619'!D:F,3,FALSE),0)</f>
        <v>634.03</v>
      </c>
      <c r="J386" s="59">
        <f>_xlfn.IFNA(VLOOKUP(A386,'619'!D:Q,14,FALSE),0)</f>
        <v>926.35</v>
      </c>
      <c r="K386" s="59">
        <f>_xlfn.IFNA(VLOOKUP(A386,'619'!D:Q,14,FALSE),0)</f>
        <v>926.35</v>
      </c>
      <c r="O386" t="s">
        <v>531</v>
      </c>
      <c r="P386">
        <f>_xlfn.IFNA(VLOOKUP(A386,IndirectCost!B:L,11,FALSE),"")</f>
        <v>0</v>
      </c>
      <c r="Q386">
        <f t="shared" si="5"/>
        <v>0</v>
      </c>
    </row>
    <row r="387" spans="1:17">
      <c r="A387" t="s">
        <v>312</v>
      </c>
      <c r="B387" t="s">
        <v>997</v>
      </c>
      <c r="C387" t="str">
        <f>VLOOKUP(A387,Districts!A:I,9,FALSE)</f>
        <v>Littleton Elementary School District</v>
      </c>
      <c r="D387" t="str">
        <f>VLOOKUP(A387,Districts!A:P,16,FALSE)</f>
        <v>GBY9FHMAXP37</v>
      </c>
      <c r="F387" s="1">
        <v>45200</v>
      </c>
      <c r="G387" t="s">
        <v>529</v>
      </c>
      <c r="H387" t="s">
        <v>530</v>
      </c>
      <c r="I387" s="59">
        <f>_xlfn.IFNA(VLOOKUP(A387,'619'!D:F,3,FALSE),0)</f>
        <v>12058.07</v>
      </c>
      <c r="J387" s="59">
        <f>_xlfn.IFNA(VLOOKUP(A387,'619'!D:Q,14,FALSE),0)</f>
        <v>18131.57</v>
      </c>
      <c r="K387" s="59">
        <f>_xlfn.IFNA(VLOOKUP(A387,'619'!D:Q,14,FALSE),0)</f>
        <v>18131.57</v>
      </c>
      <c r="O387" t="s">
        <v>531</v>
      </c>
      <c r="P387">
        <f>_xlfn.IFNA(VLOOKUP(A387,IndirectCost!B:L,11,FALSE),"")</f>
        <v>4.78</v>
      </c>
      <c r="Q387">
        <f t="shared" si="5"/>
        <v>4.7800000000000002E-2</v>
      </c>
    </row>
    <row r="388" spans="1:17">
      <c r="A388" t="s">
        <v>313</v>
      </c>
      <c r="B388" t="s">
        <v>998</v>
      </c>
      <c r="C388" t="str">
        <f>VLOOKUP(A388,Districts!A:I,9,FALSE)</f>
        <v>County of Maricopa Madison School District #38</v>
      </c>
      <c r="D388" t="str">
        <f>VLOOKUP(A388,Districts!A:P,16,FALSE)</f>
        <v>JWBVHHPJ22F1</v>
      </c>
      <c r="F388" s="1">
        <v>45200</v>
      </c>
      <c r="G388" t="s">
        <v>529</v>
      </c>
      <c r="H388" t="s">
        <v>530</v>
      </c>
      <c r="I388" s="59">
        <f>_xlfn.IFNA(VLOOKUP(A388,'619'!D:F,3,FALSE),0)</f>
        <v>28355.27</v>
      </c>
      <c r="J388" s="59">
        <f>_xlfn.IFNA(VLOOKUP(A388,'619'!D:Q,14,FALSE),0)</f>
        <v>55308.09</v>
      </c>
      <c r="K388" s="59">
        <f>_xlfn.IFNA(VLOOKUP(A388,'619'!D:Q,14,FALSE),0)</f>
        <v>55308.09</v>
      </c>
      <c r="O388" t="s">
        <v>531</v>
      </c>
      <c r="P388">
        <f>_xlfn.IFNA(VLOOKUP(A388,IndirectCost!B:L,11,FALSE),"")</f>
        <v>6.63</v>
      </c>
      <c r="Q388">
        <f t="shared" ref="Q388:Q451" si="6">IFERROR(P388/100,0)</f>
        <v>6.6299999999999998E-2</v>
      </c>
    </row>
    <row r="389" spans="1:17">
      <c r="A389" t="s">
        <v>999</v>
      </c>
      <c r="B389" t="s">
        <v>1000</v>
      </c>
      <c r="C389" t="str">
        <f>VLOOKUP(A389,Districts!A:I,9,FALSE)</f>
        <v>Madison Highland Prep Phoenix</v>
      </c>
      <c r="D389" t="str">
        <f>VLOOKUP(A389,Districts!A:P,16,FALSE)</f>
        <v>P2AHCFMN4DD8</v>
      </c>
      <c r="F389" s="1">
        <v>45200</v>
      </c>
      <c r="G389" t="s">
        <v>529</v>
      </c>
      <c r="H389" t="s">
        <v>530</v>
      </c>
      <c r="I389" s="59">
        <f>_xlfn.IFNA(VLOOKUP(A389,'619'!D:F,3,FALSE),0)</f>
        <v>0</v>
      </c>
      <c r="J389" s="59">
        <f>_xlfn.IFNA(VLOOKUP(A389,'619'!D:Q,14,FALSE),0)</f>
        <v>0</v>
      </c>
      <c r="K389" s="59">
        <f>_xlfn.IFNA(VLOOKUP(A389,'619'!D:Q,14,FALSE),0)</f>
        <v>0</v>
      </c>
      <c r="O389" t="s">
        <v>531</v>
      </c>
      <c r="P389" t="str">
        <f>_xlfn.IFNA(VLOOKUP(A389,IndirectCost!B:L,11,FALSE),"")</f>
        <v/>
      </c>
      <c r="Q389">
        <f t="shared" si="6"/>
        <v>0</v>
      </c>
    </row>
    <row r="390" spans="1:17">
      <c r="A390" t="s">
        <v>1001</v>
      </c>
      <c r="B390" t="s">
        <v>1002</v>
      </c>
      <c r="C390" t="str">
        <f>VLOOKUP(A390,Districts!A:I,9,FALSE)</f>
        <v>Madison Highland Prep</v>
      </c>
      <c r="D390" t="str">
        <f>VLOOKUP(A390,Districts!A:P,16,FALSE)</f>
        <v>P2AHCFMN4DD8</v>
      </c>
      <c r="F390" s="1">
        <v>45200</v>
      </c>
      <c r="G390" t="s">
        <v>529</v>
      </c>
      <c r="H390" t="s">
        <v>530</v>
      </c>
      <c r="I390" s="59">
        <f>_xlfn.IFNA(VLOOKUP(A390,'619'!D:F,3,FALSE),0)</f>
        <v>0</v>
      </c>
      <c r="J390" s="59">
        <f>_xlfn.IFNA(VLOOKUP(A390,'619'!D:Q,14,FALSE),0)</f>
        <v>0</v>
      </c>
      <c r="K390" s="59">
        <f>_xlfn.IFNA(VLOOKUP(A390,'619'!D:Q,14,FALSE),0)</f>
        <v>0</v>
      </c>
      <c r="O390" t="s">
        <v>531</v>
      </c>
      <c r="P390" t="str">
        <f>_xlfn.IFNA(VLOOKUP(A390,IndirectCost!B:L,11,FALSE),"")</f>
        <v/>
      </c>
      <c r="Q390">
        <f t="shared" si="6"/>
        <v>0</v>
      </c>
    </row>
    <row r="391" spans="1:17">
      <c r="A391" t="s">
        <v>314</v>
      </c>
      <c r="B391" t="s">
        <v>1003</v>
      </c>
      <c r="C391" t="str">
        <f>VLOOKUP(A391,Districts!A:I,9,FALSE)</f>
        <v>Maine Consolidated Elementary School District No. 10</v>
      </c>
      <c r="D391" t="str">
        <f>VLOOKUP(A391,Districts!A:P,16,FALSE)</f>
        <v>KN97KHBBW6K7</v>
      </c>
      <c r="F391" s="1">
        <v>45200</v>
      </c>
      <c r="G391" t="s">
        <v>529</v>
      </c>
      <c r="H391" t="s">
        <v>530</v>
      </c>
      <c r="I391" s="59">
        <f>_xlfn.IFNA(VLOOKUP(A391,'619'!D:F,3,FALSE),0)</f>
        <v>1730.39</v>
      </c>
      <c r="J391" s="59">
        <f>_xlfn.IFNA(VLOOKUP(A391,'619'!D:Q,14,FALSE),0)</f>
        <v>1730.39</v>
      </c>
      <c r="K391" s="59">
        <f>_xlfn.IFNA(VLOOKUP(A391,'619'!D:Q,14,FALSE),0)</f>
        <v>1730.39</v>
      </c>
      <c r="O391" t="s">
        <v>531</v>
      </c>
      <c r="P391" t="str">
        <f>_xlfn.IFNA(VLOOKUP(A391,IndirectCost!B:L,11,FALSE),"")</f>
        <v/>
      </c>
      <c r="Q391">
        <f t="shared" si="6"/>
        <v>0</v>
      </c>
    </row>
    <row r="392" spans="1:17">
      <c r="A392" t="s">
        <v>315</v>
      </c>
      <c r="B392" t="s">
        <v>1004</v>
      </c>
      <c r="C392" t="str">
        <f>VLOOKUP(A392,Districts!A:I,9,FALSE)</f>
        <v>Mammoth-San Manuel Unified School District #8</v>
      </c>
      <c r="D392" t="str">
        <f>VLOOKUP(A392,Districts!A:P,16,FALSE)</f>
        <v>ZMLGV21EM3M5</v>
      </c>
      <c r="F392" s="1">
        <v>45200</v>
      </c>
      <c r="G392" t="s">
        <v>529</v>
      </c>
      <c r="H392" t="s">
        <v>530</v>
      </c>
      <c r="I392" s="59">
        <f>_xlfn.IFNA(VLOOKUP(A392,'619'!D:F,3,FALSE),0)</f>
        <v>11819.4</v>
      </c>
      <c r="J392" s="59">
        <f>_xlfn.IFNA(VLOOKUP(A392,'619'!D:Q,14,FALSE),0)</f>
        <v>15537.98</v>
      </c>
      <c r="K392" s="59">
        <f>_xlfn.IFNA(VLOOKUP(A392,'619'!D:Q,14,FALSE),0)</f>
        <v>15537.98</v>
      </c>
      <c r="O392" t="s">
        <v>531</v>
      </c>
      <c r="P392">
        <f>_xlfn.IFNA(VLOOKUP(A392,IndirectCost!B:L,11,FALSE),"")</f>
        <v>8</v>
      </c>
      <c r="Q392">
        <f t="shared" si="6"/>
        <v>0.08</v>
      </c>
    </row>
    <row r="393" spans="1:17">
      <c r="A393" t="s">
        <v>316</v>
      </c>
      <c r="B393" t="s">
        <v>1005</v>
      </c>
      <c r="C393" t="str">
        <f>VLOOKUP(A393,Districts!A:I,9,FALSE)</f>
        <v>Marana Unified School District</v>
      </c>
      <c r="D393" t="str">
        <f>VLOOKUP(A393,Districts!A:P,16,FALSE)</f>
        <v>LN4HMDMP5AD5</v>
      </c>
      <c r="F393" s="1">
        <v>45200</v>
      </c>
      <c r="G393" t="s">
        <v>529</v>
      </c>
      <c r="H393" t="s">
        <v>530</v>
      </c>
      <c r="I393" s="59">
        <f>_xlfn.IFNA(VLOOKUP(A393,'619'!D:F,3,FALSE),0)</f>
        <v>52866.95</v>
      </c>
      <c r="J393" s="59">
        <f>_xlfn.IFNA(VLOOKUP(A393,'619'!D:Q,14,FALSE),0)</f>
        <v>52866.95</v>
      </c>
      <c r="K393" s="59">
        <f>_xlfn.IFNA(VLOOKUP(A393,'619'!D:Q,14,FALSE),0)</f>
        <v>52866.95</v>
      </c>
      <c r="O393" t="s">
        <v>531</v>
      </c>
      <c r="P393">
        <f>_xlfn.IFNA(VLOOKUP(A393,IndirectCost!B:L,11,FALSE),"")</f>
        <v>0.53</v>
      </c>
      <c r="Q393">
        <f t="shared" si="6"/>
        <v>5.3E-3</v>
      </c>
    </row>
    <row r="394" spans="1:17">
      <c r="A394" t="s">
        <v>1006</v>
      </c>
      <c r="B394" t="s">
        <v>1007</v>
      </c>
      <c r="C394" t="str">
        <f>VLOOKUP(A394,Districts!A:I,9,FALSE)</f>
        <v>MARICOPA COUNTY COMMUNITY COLLEGE DISTRICT GATEWAY COMMUNITY COLLEGE</v>
      </c>
      <c r="D394" t="str">
        <f>VLOOKUP(A394,Districts!A:P,16,FALSE)</f>
        <v>SP3CV9MFLS69</v>
      </c>
      <c r="F394" s="1">
        <v>45200</v>
      </c>
      <c r="G394" t="s">
        <v>529</v>
      </c>
      <c r="H394" t="s">
        <v>530</v>
      </c>
      <c r="I394" s="59">
        <f>_xlfn.IFNA(VLOOKUP(A394,'619'!D:F,3,FALSE),0)</f>
        <v>0</v>
      </c>
      <c r="J394" s="59">
        <f>_xlfn.IFNA(VLOOKUP(A394,'619'!D:Q,14,FALSE),0)</f>
        <v>0</v>
      </c>
      <c r="K394" s="59">
        <f>_xlfn.IFNA(VLOOKUP(A394,'619'!D:Q,14,FALSE),0)</f>
        <v>0</v>
      </c>
      <c r="O394" t="s">
        <v>531</v>
      </c>
      <c r="P394" t="str">
        <f>_xlfn.IFNA(VLOOKUP(A394,IndirectCost!B:L,11,FALSE),"")</f>
        <v/>
      </c>
      <c r="Q394">
        <f t="shared" si="6"/>
        <v>0</v>
      </c>
    </row>
    <row r="395" spans="1:17">
      <c r="A395" t="s">
        <v>1008</v>
      </c>
      <c r="B395" t="s">
        <v>1009</v>
      </c>
      <c r="C395" t="str">
        <f>VLOOKUP(A395,Districts!A:I,9,FALSE)</f>
        <v>Maricopa County Superintendent of Schools</v>
      </c>
      <c r="D395" t="str">
        <f>VLOOKUP(A395,Districts!A:P,16,FALSE)</f>
        <v>JLJNMJ6C9R76</v>
      </c>
      <c r="F395" s="1">
        <v>45200</v>
      </c>
      <c r="G395" t="s">
        <v>529</v>
      </c>
      <c r="H395" t="s">
        <v>530</v>
      </c>
      <c r="I395" s="59">
        <f>_xlfn.IFNA(VLOOKUP(A395,'619'!D:F,3,FALSE),0)</f>
        <v>0</v>
      </c>
      <c r="J395" s="59">
        <f>_xlfn.IFNA(VLOOKUP(A395,'619'!D:Q,14,FALSE),0)</f>
        <v>0</v>
      </c>
      <c r="K395" s="59">
        <f>_xlfn.IFNA(VLOOKUP(A395,'619'!D:Q,14,FALSE),0)</f>
        <v>0</v>
      </c>
      <c r="O395" t="s">
        <v>531</v>
      </c>
      <c r="P395" t="str">
        <f>_xlfn.IFNA(VLOOKUP(A395,IndirectCost!B:L,11,FALSE),"")</f>
        <v/>
      </c>
      <c r="Q395">
        <f t="shared" si="6"/>
        <v>0</v>
      </c>
    </row>
    <row r="396" spans="1:17">
      <c r="A396" t="s">
        <v>1010</v>
      </c>
      <c r="B396" t="s">
        <v>1011</v>
      </c>
      <c r="C396" t="str">
        <f>VLOOKUP(A396,Districts!A:I,9,FALSE)</f>
        <v>Maricopa County Regional School District</v>
      </c>
      <c r="D396" t="str">
        <f>VLOOKUP(A396,Districts!A:P,16,FALSE)</f>
        <v>E3BZPX41GQU8</v>
      </c>
      <c r="F396" s="1">
        <v>45200</v>
      </c>
      <c r="G396" t="s">
        <v>529</v>
      </c>
      <c r="H396" t="s">
        <v>530</v>
      </c>
      <c r="I396" s="59">
        <f>_xlfn.IFNA(VLOOKUP(A396,'619'!D:F,3,FALSE),0)</f>
        <v>0</v>
      </c>
      <c r="J396" s="59">
        <f>_xlfn.IFNA(VLOOKUP(A396,'619'!D:Q,14,FALSE),0)</f>
        <v>0</v>
      </c>
      <c r="K396" s="59">
        <f>_xlfn.IFNA(VLOOKUP(A396,'619'!D:Q,14,FALSE),0)</f>
        <v>0</v>
      </c>
      <c r="O396" t="s">
        <v>531</v>
      </c>
      <c r="P396">
        <f>_xlfn.IFNA(VLOOKUP(A396,IndirectCost!B:L,11,FALSE),"")</f>
        <v>0</v>
      </c>
      <c r="Q396">
        <f t="shared" si="6"/>
        <v>0</v>
      </c>
    </row>
    <row r="397" spans="1:17">
      <c r="A397" t="s">
        <v>1012</v>
      </c>
      <c r="B397" t="s">
        <v>1013</v>
      </c>
      <c r="C397" t="str">
        <f>VLOOKUP(A397,Districts!A:I,9,FALSE)</f>
        <v>Maricopa, County of</v>
      </c>
      <c r="D397" t="str">
        <f>VLOOKUP(A397,Districts!A:P,16,FALSE)</f>
        <v>JW5VMAWMCQR6</v>
      </c>
      <c r="F397" s="1">
        <v>45200</v>
      </c>
      <c r="G397" t="s">
        <v>529</v>
      </c>
      <c r="H397" t="s">
        <v>530</v>
      </c>
      <c r="I397" s="59">
        <f>_xlfn.IFNA(VLOOKUP(A397,'619'!D:F,3,FALSE),0)</f>
        <v>0</v>
      </c>
      <c r="J397" s="59">
        <f>_xlfn.IFNA(VLOOKUP(A397,'619'!D:Q,14,FALSE),0)</f>
        <v>0</v>
      </c>
      <c r="K397" s="59">
        <f>_xlfn.IFNA(VLOOKUP(A397,'619'!D:Q,14,FALSE),0)</f>
        <v>0</v>
      </c>
      <c r="O397" t="s">
        <v>531</v>
      </c>
      <c r="P397" t="str">
        <f>_xlfn.IFNA(VLOOKUP(A397,IndirectCost!B:L,11,FALSE),"")</f>
        <v/>
      </c>
      <c r="Q397">
        <f t="shared" si="6"/>
        <v>0</v>
      </c>
    </row>
    <row r="398" spans="1:17">
      <c r="A398" t="s">
        <v>317</v>
      </c>
      <c r="B398" t="s">
        <v>1014</v>
      </c>
      <c r="C398" t="str">
        <f>VLOOKUP(A398,Districts!A:I,9,FALSE)</f>
        <v>Maricopa Unified School District 20</v>
      </c>
      <c r="D398" t="str">
        <f>VLOOKUP(A398,Districts!A:P,16,FALSE)</f>
        <v>VJ47JEEL6NZ6</v>
      </c>
      <c r="F398" s="1">
        <v>45200</v>
      </c>
      <c r="G398" t="s">
        <v>529</v>
      </c>
      <c r="H398" t="s">
        <v>530</v>
      </c>
      <c r="I398" s="59">
        <f>_xlfn.IFNA(VLOOKUP(A398,'619'!D:F,3,FALSE),0)</f>
        <v>14795.96</v>
      </c>
      <c r="J398" s="59">
        <f>_xlfn.IFNA(VLOOKUP(A398,'619'!D:Q,14,FALSE),0)</f>
        <v>30823.53</v>
      </c>
      <c r="K398" s="59">
        <f>_xlfn.IFNA(VLOOKUP(A398,'619'!D:Q,14,FALSE),0)</f>
        <v>30823.53</v>
      </c>
      <c r="O398" t="s">
        <v>531</v>
      </c>
      <c r="P398">
        <f>_xlfn.IFNA(VLOOKUP(A398,IndirectCost!B:L,11,FALSE),"")</f>
        <v>8</v>
      </c>
      <c r="Q398">
        <f t="shared" si="6"/>
        <v>0.08</v>
      </c>
    </row>
    <row r="399" spans="1:17">
      <c r="A399" t="s">
        <v>318</v>
      </c>
      <c r="B399" t="s">
        <v>1015</v>
      </c>
      <c r="C399" t="str">
        <f>VLOOKUP(A399,Districts!A:I,9,FALSE)</f>
        <v>Mary C O'Brien Accommodation District</v>
      </c>
      <c r="D399" t="str">
        <f>VLOOKUP(A399,Districts!A:P,16,FALSE)</f>
        <v>Y4D7FR94UAT1</v>
      </c>
      <c r="F399" s="1">
        <v>45200</v>
      </c>
      <c r="G399" t="s">
        <v>529</v>
      </c>
      <c r="H399" t="s">
        <v>530</v>
      </c>
      <c r="I399" s="59">
        <f>_xlfn.IFNA(VLOOKUP(A399,'619'!D:F,3,FALSE),0)</f>
        <v>1069.1400000000001</v>
      </c>
      <c r="J399" s="59">
        <f>_xlfn.IFNA(VLOOKUP(A399,'619'!D:Q,14,FALSE),0)</f>
        <v>1526.02</v>
      </c>
      <c r="K399" s="59">
        <f>_xlfn.IFNA(VLOOKUP(A399,'619'!D:Q,14,FALSE),0)</f>
        <v>1526.02</v>
      </c>
      <c r="O399" t="s">
        <v>531</v>
      </c>
      <c r="P399">
        <f>_xlfn.IFNA(VLOOKUP(A399,IndirectCost!B:L,11,FALSE),"")</f>
        <v>8</v>
      </c>
      <c r="Q399">
        <f t="shared" si="6"/>
        <v>0.08</v>
      </c>
    </row>
    <row r="400" spans="1:17">
      <c r="A400" t="s">
        <v>1016</v>
      </c>
      <c r="B400" t="s">
        <v>1017</v>
      </c>
      <c r="C400" t="str">
        <f>VLOOKUP(A400,Districts!A:I,9,FALSE)</f>
        <v>Mary Ellen Halvorson Education Foundation</v>
      </c>
      <c r="D400" t="str">
        <f>VLOOKUP(A400,Districts!A:P,16,FALSE)</f>
        <v>NL9JTUNJL7U3</v>
      </c>
      <c r="F400" s="1">
        <v>45200</v>
      </c>
      <c r="G400" t="s">
        <v>529</v>
      </c>
      <c r="H400" t="s">
        <v>530</v>
      </c>
      <c r="I400" s="59">
        <f>_xlfn.IFNA(VLOOKUP(A400,'619'!D:F,3,FALSE),0)</f>
        <v>0</v>
      </c>
      <c r="J400" s="59">
        <f>_xlfn.IFNA(VLOOKUP(A400,'619'!D:Q,14,FALSE),0)</f>
        <v>0</v>
      </c>
      <c r="K400" s="59">
        <f>_xlfn.IFNA(VLOOKUP(A400,'619'!D:Q,14,FALSE),0)</f>
        <v>0</v>
      </c>
      <c r="O400" t="s">
        <v>531</v>
      </c>
      <c r="P400" t="str">
        <f>_xlfn.IFNA(VLOOKUP(A400,IndirectCost!B:L,11,FALSE),"")</f>
        <v/>
      </c>
      <c r="Q400">
        <f t="shared" si="6"/>
        <v>0</v>
      </c>
    </row>
    <row r="401" spans="1:17">
      <c r="A401" t="s">
        <v>319</v>
      </c>
      <c r="B401" t="s">
        <v>1018</v>
      </c>
      <c r="C401" t="str">
        <f>VLOOKUP(A401,Districts!A:I,9,FALSE)</f>
        <v>Maryvale Preparatory Academy</v>
      </c>
      <c r="D401" t="str">
        <f>VLOOKUP(A401,Districts!A:P,16,FALSE)</f>
        <v>XB1YKSKZCUF5</v>
      </c>
      <c r="F401" s="1">
        <v>45200</v>
      </c>
      <c r="G401" t="s">
        <v>529</v>
      </c>
      <c r="H401" t="s">
        <v>530</v>
      </c>
      <c r="I401" s="59">
        <f>_xlfn.IFNA(VLOOKUP(A401,'619'!D:F,3,FALSE),0)</f>
        <v>970.74</v>
      </c>
      <c r="J401" s="59">
        <f>_xlfn.IFNA(VLOOKUP(A401,'619'!D:Q,14,FALSE),0)</f>
        <v>2233.62</v>
      </c>
      <c r="K401" s="59">
        <f>_xlfn.IFNA(VLOOKUP(A401,'619'!D:Q,14,FALSE),0)</f>
        <v>2233.62</v>
      </c>
      <c r="O401" t="s">
        <v>531</v>
      </c>
      <c r="P401">
        <f>_xlfn.IFNA(VLOOKUP(A401,IndirectCost!B:L,11,FALSE),"")</f>
        <v>8</v>
      </c>
      <c r="Q401">
        <f t="shared" si="6"/>
        <v>0.08</v>
      </c>
    </row>
    <row r="402" spans="1:17">
      <c r="A402" t="s">
        <v>320</v>
      </c>
      <c r="B402" t="s">
        <v>1019</v>
      </c>
      <c r="C402" t="str">
        <f>VLOOKUP(A402,Districts!A:I,9,FALSE)</f>
        <v>Masada Charter School, Inc</v>
      </c>
      <c r="D402" t="str">
        <f>VLOOKUP(A402,Districts!A:P,16,FALSE)</f>
        <v>T3BLC2SAZ2L3</v>
      </c>
      <c r="F402" s="1">
        <v>45200</v>
      </c>
      <c r="G402" t="s">
        <v>529</v>
      </c>
      <c r="H402" t="s">
        <v>530</v>
      </c>
      <c r="I402" s="59">
        <f>_xlfn.IFNA(VLOOKUP(A402,'619'!D:F,3,FALSE),0)</f>
        <v>1088.77</v>
      </c>
      <c r="J402" s="59">
        <f>_xlfn.IFNA(VLOOKUP(A402,'619'!D:Q,14,FALSE),0)</f>
        <v>1088.77</v>
      </c>
      <c r="K402" s="59">
        <f>_xlfn.IFNA(VLOOKUP(A402,'619'!D:Q,14,FALSE),0)</f>
        <v>1088.77</v>
      </c>
      <c r="O402" t="s">
        <v>531</v>
      </c>
      <c r="P402" t="str">
        <f>_xlfn.IFNA(VLOOKUP(A402,IndirectCost!B:L,11,FALSE),"")</f>
        <v/>
      </c>
      <c r="Q402">
        <f t="shared" si="6"/>
        <v>0</v>
      </c>
    </row>
    <row r="403" spans="1:17">
      <c r="A403" t="s">
        <v>321</v>
      </c>
      <c r="B403" t="s">
        <v>1020</v>
      </c>
      <c r="C403" t="str">
        <f>VLOOKUP(A403,Districts!A:I,9,FALSE)</f>
        <v>Math and Science Success Academy, Inc.</v>
      </c>
      <c r="D403" t="str">
        <f>VLOOKUP(A403,Districts!A:P,16,FALSE)</f>
        <v>JN2KYWKPL9Q6</v>
      </c>
      <c r="F403" s="1">
        <v>45200</v>
      </c>
      <c r="G403" t="s">
        <v>529</v>
      </c>
      <c r="H403" t="s">
        <v>530</v>
      </c>
      <c r="I403" s="59">
        <f>_xlfn.IFNA(VLOOKUP(A403,'619'!D:F,3,FALSE),0)</f>
        <v>871.31</v>
      </c>
      <c r="J403" s="59">
        <f>_xlfn.IFNA(VLOOKUP(A403,'619'!D:Q,14,FALSE),0)</f>
        <v>871.31</v>
      </c>
      <c r="K403" s="59">
        <f>_xlfn.IFNA(VLOOKUP(A403,'619'!D:Q,14,FALSE),0)</f>
        <v>871.31</v>
      </c>
      <c r="O403" t="s">
        <v>531</v>
      </c>
      <c r="P403" t="str">
        <f>_xlfn.IFNA(VLOOKUP(A403,IndirectCost!B:L,11,FALSE),"")</f>
        <v/>
      </c>
      <c r="Q403">
        <f t="shared" si="6"/>
        <v>0</v>
      </c>
    </row>
    <row r="404" spans="1:17">
      <c r="A404" t="s">
        <v>322</v>
      </c>
      <c r="B404" t="s">
        <v>1021</v>
      </c>
      <c r="C404" t="str">
        <f>VLOOKUP(A404,Districts!A:I,9,FALSE)</f>
        <v>Mayer Unified School District 43</v>
      </c>
      <c r="D404" t="str">
        <f>VLOOKUP(A404,Districts!A:P,16,FALSE)</f>
        <v>EMFWLT4V6YG5</v>
      </c>
      <c r="F404" s="1">
        <v>45200</v>
      </c>
      <c r="G404" t="s">
        <v>529</v>
      </c>
      <c r="H404" t="s">
        <v>530</v>
      </c>
      <c r="I404" s="59">
        <f>_xlfn.IFNA(VLOOKUP(A404,'619'!D:F,3,FALSE),0)</f>
        <v>4538.46</v>
      </c>
      <c r="J404" s="59">
        <f>_xlfn.IFNA(VLOOKUP(A404,'619'!D:Q,14,FALSE),0)</f>
        <v>5221.05</v>
      </c>
      <c r="K404" s="59">
        <f>_xlfn.IFNA(VLOOKUP(A404,'619'!D:Q,14,FALSE),0)</f>
        <v>5221.05</v>
      </c>
      <c r="O404" t="s">
        <v>531</v>
      </c>
      <c r="P404">
        <f>_xlfn.IFNA(VLOOKUP(A404,IndirectCost!B:L,11,FALSE),"")</f>
        <v>5.24</v>
      </c>
      <c r="Q404">
        <f t="shared" si="6"/>
        <v>5.2400000000000002E-2</v>
      </c>
    </row>
    <row r="405" spans="1:17">
      <c r="A405" t="s">
        <v>1022</v>
      </c>
      <c r="B405" t="s">
        <v>1023</v>
      </c>
      <c r="C405" t="str">
        <f>VLOOKUP(A405,Districts!A:I,9,FALSE)</f>
        <v>Maricopa County Community College District dba Phoenix College</v>
      </c>
      <c r="D405" t="str">
        <f>VLOOKUP(A405,Districts!A:P,16,FALSE)</f>
        <v>LM72QFMLZK81</v>
      </c>
      <c r="F405" s="1">
        <v>45200</v>
      </c>
      <c r="G405" t="s">
        <v>529</v>
      </c>
      <c r="H405" t="s">
        <v>530</v>
      </c>
      <c r="I405" s="59">
        <f>_xlfn.IFNA(VLOOKUP(A405,'619'!D:F,3,FALSE),0)</f>
        <v>0</v>
      </c>
      <c r="J405" s="59">
        <f>_xlfn.IFNA(VLOOKUP(A405,'619'!D:Q,14,FALSE),0)</f>
        <v>0</v>
      </c>
      <c r="K405" s="59">
        <f>_xlfn.IFNA(VLOOKUP(A405,'619'!D:Q,14,FALSE),0)</f>
        <v>0</v>
      </c>
      <c r="O405" t="s">
        <v>531</v>
      </c>
      <c r="P405" t="str">
        <f>_xlfn.IFNA(VLOOKUP(A405,IndirectCost!B:L,11,FALSE),"")</f>
        <v/>
      </c>
      <c r="Q405">
        <f t="shared" si="6"/>
        <v>0</v>
      </c>
    </row>
    <row r="406" spans="1:17">
      <c r="A406" t="s">
        <v>323</v>
      </c>
      <c r="B406" t="s">
        <v>1024</v>
      </c>
      <c r="C406" t="str">
        <f>VLOOKUP(A406,Districts!A:I,9,FALSE)</f>
        <v>McNary Elementary School District</v>
      </c>
      <c r="D406" t="str">
        <f>VLOOKUP(A406,Districts!A:P,16,FALSE)</f>
        <v>QRLJSJRA5JN8</v>
      </c>
      <c r="F406" s="1">
        <v>45200</v>
      </c>
      <c r="G406" t="s">
        <v>529</v>
      </c>
      <c r="H406" t="s">
        <v>530</v>
      </c>
      <c r="I406" s="59">
        <f>_xlfn.IFNA(VLOOKUP(A406,'619'!D:F,3,FALSE),0)</f>
        <v>480.03</v>
      </c>
      <c r="J406" s="59">
        <f>_xlfn.IFNA(VLOOKUP(A406,'619'!D:Q,14,FALSE),0)</f>
        <v>930.64</v>
      </c>
      <c r="K406" s="59">
        <f>_xlfn.IFNA(VLOOKUP(A406,'619'!D:Q,14,FALSE),0)</f>
        <v>930.64</v>
      </c>
      <c r="O406" t="s">
        <v>531</v>
      </c>
      <c r="P406">
        <f>_xlfn.IFNA(VLOOKUP(A406,IndirectCost!B:L,11,FALSE),"")</f>
        <v>1.94</v>
      </c>
      <c r="Q406">
        <f t="shared" si="6"/>
        <v>1.9400000000000001E-2</v>
      </c>
    </row>
    <row r="407" spans="1:17">
      <c r="A407" t="s">
        <v>324</v>
      </c>
      <c r="B407" t="s">
        <v>1025</v>
      </c>
      <c r="C407" t="str">
        <f>VLOOKUP(A407,Districts!A:I,9,FALSE)</f>
        <v>McNeal School District 55</v>
      </c>
      <c r="D407" t="str">
        <f>VLOOKUP(A407,Districts!A:P,16,FALSE)</f>
        <v>PJDLVFC3AN18</v>
      </c>
      <c r="F407" s="1">
        <v>45200</v>
      </c>
      <c r="G407" t="s">
        <v>529</v>
      </c>
      <c r="H407" t="s">
        <v>530</v>
      </c>
      <c r="I407" s="59">
        <f>_xlfn.IFNA(VLOOKUP(A407,'619'!D:F,3,FALSE),0)</f>
        <v>547.98</v>
      </c>
      <c r="J407" s="59">
        <f>_xlfn.IFNA(VLOOKUP(A407,'619'!D:Q,14,FALSE),0)</f>
        <v>547.98</v>
      </c>
      <c r="K407" s="59">
        <f>_xlfn.IFNA(VLOOKUP(A407,'619'!D:Q,14,FALSE),0)</f>
        <v>547.98</v>
      </c>
      <c r="O407" t="s">
        <v>531</v>
      </c>
      <c r="P407">
        <f>_xlfn.IFNA(VLOOKUP(A407,IndirectCost!B:L,11,FALSE),"")</f>
        <v>0</v>
      </c>
      <c r="Q407">
        <f t="shared" si="6"/>
        <v>0</v>
      </c>
    </row>
    <row r="408" spans="1:17">
      <c r="A408" t="s">
        <v>325</v>
      </c>
      <c r="B408" t="s">
        <v>1026</v>
      </c>
      <c r="C408" t="str">
        <f>VLOOKUP(A408,Districts!A:I,9,FALSE)</f>
        <v>Mesa Unified School District 4 DBA Mesa Public Schools</v>
      </c>
      <c r="D408" t="str">
        <f>VLOOKUP(A408,Districts!A:P,16,FALSE)</f>
        <v>NSB2LFQHEQF5</v>
      </c>
      <c r="F408" s="1">
        <v>45200</v>
      </c>
      <c r="G408" t="s">
        <v>529</v>
      </c>
      <c r="H408" t="s">
        <v>530</v>
      </c>
      <c r="I408" s="59">
        <f>_xlfn.IFNA(VLOOKUP(A408,'619'!D:F,3,FALSE),0)</f>
        <v>327808.95</v>
      </c>
      <c r="J408" s="59">
        <f>_xlfn.IFNA(VLOOKUP(A408,'619'!D:Q,14,FALSE),0)</f>
        <v>507484.13</v>
      </c>
      <c r="K408" s="59">
        <f>_xlfn.IFNA(VLOOKUP(A408,'619'!D:Q,14,FALSE),0)</f>
        <v>507484.13</v>
      </c>
      <c r="O408" t="s">
        <v>531</v>
      </c>
      <c r="P408">
        <f>_xlfn.IFNA(VLOOKUP(A408,IndirectCost!B:L,11,FALSE),"")</f>
        <v>3.59</v>
      </c>
      <c r="Q408">
        <f t="shared" si="6"/>
        <v>3.5900000000000001E-2</v>
      </c>
    </row>
    <row r="409" spans="1:17">
      <c r="A409" t="s">
        <v>1027</v>
      </c>
      <c r="B409" t="s">
        <v>1028</v>
      </c>
      <c r="C409" t="str">
        <f>VLOOKUP(A409,Districts!A:I,9,FALSE)</f>
        <v>Metropolitan Arts Institute</v>
      </c>
      <c r="D409" t="str">
        <f>VLOOKUP(A409,Districts!A:P,16,FALSE)</f>
        <v>VR1MCLW4KFK8</v>
      </c>
      <c r="F409" s="1">
        <v>45200</v>
      </c>
      <c r="G409" t="s">
        <v>529</v>
      </c>
      <c r="H409" t="s">
        <v>530</v>
      </c>
      <c r="I409" s="59">
        <f>_xlfn.IFNA(VLOOKUP(A409,'619'!D:F,3,FALSE),0)</f>
        <v>0</v>
      </c>
      <c r="J409" s="59">
        <f>_xlfn.IFNA(VLOOKUP(A409,'619'!D:Q,14,FALSE),0)</f>
        <v>0</v>
      </c>
      <c r="K409" s="59">
        <f>_xlfn.IFNA(VLOOKUP(A409,'619'!D:Q,14,FALSE),0)</f>
        <v>0</v>
      </c>
      <c r="O409" t="s">
        <v>531</v>
      </c>
      <c r="P409" t="str">
        <f>_xlfn.IFNA(VLOOKUP(A409,IndirectCost!B:L,11,FALSE),"")</f>
        <v/>
      </c>
      <c r="Q409">
        <f t="shared" si="6"/>
        <v>0</v>
      </c>
    </row>
    <row r="410" spans="1:17">
      <c r="A410" t="s">
        <v>326</v>
      </c>
      <c r="B410" t="s">
        <v>1029</v>
      </c>
      <c r="C410" t="str">
        <f>VLOOKUP(A410,Districts!A:I,9,FALSE)</f>
        <v>Mexicayotl Academy of Excellence</v>
      </c>
      <c r="D410" t="str">
        <f>VLOOKUP(A410,Districts!A:P,16,FALSE)</f>
        <v>HNNZPK499534</v>
      </c>
      <c r="F410" s="1">
        <v>45200</v>
      </c>
      <c r="G410" t="s">
        <v>529</v>
      </c>
      <c r="H410" t="s">
        <v>530</v>
      </c>
      <c r="I410" s="59">
        <f>_xlfn.IFNA(VLOOKUP(A410,'619'!D:F,3,FALSE),0)</f>
        <v>541.46</v>
      </c>
      <c r="J410" s="59">
        <f>_xlfn.IFNA(VLOOKUP(A410,'619'!D:Q,14,FALSE),0)</f>
        <v>541.46</v>
      </c>
      <c r="K410" s="59">
        <f>_xlfn.IFNA(VLOOKUP(A410,'619'!D:Q,14,FALSE),0)</f>
        <v>541.46</v>
      </c>
      <c r="O410" t="s">
        <v>531</v>
      </c>
      <c r="P410">
        <f>_xlfn.IFNA(VLOOKUP(A410,IndirectCost!B:L,11,FALSE),"")</f>
        <v>8</v>
      </c>
      <c r="Q410">
        <f t="shared" si="6"/>
        <v>0.08</v>
      </c>
    </row>
    <row r="411" spans="1:17">
      <c r="A411" t="s">
        <v>327</v>
      </c>
      <c r="B411" t="s">
        <v>1030</v>
      </c>
      <c r="C411" t="str">
        <f>VLOOKUP(A411,Districts!A:I,9,FALSE)</f>
        <v>Miami Area Unified School District 40</v>
      </c>
      <c r="D411" t="str">
        <f>VLOOKUP(A411,Districts!A:P,16,FALSE)</f>
        <v>L8BRLLASELN1</v>
      </c>
      <c r="F411" s="1">
        <v>45200</v>
      </c>
      <c r="G411" t="s">
        <v>529</v>
      </c>
      <c r="H411" t="s">
        <v>530</v>
      </c>
      <c r="I411" s="59">
        <f>_xlfn.IFNA(VLOOKUP(A411,'619'!D:F,3,FALSE),0)</f>
        <v>18280.91</v>
      </c>
      <c r="J411" s="59">
        <f>_xlfn.IFNA(VLOOKUP(A411,'619'!D:Q,14,FALSE),0)</f>
        <v>18880.27</v>
      </c>
      <c r="K411" s="59">
        <f>_xlfn.IFNA(VLOOKUP(A411,'619'!D:Q,14,FALSE),0)</f>
        <v>18880.27</v>
      </c>
      <c r="O411" t="s">
        <v>531</v>
      </c>
      <c r="P411">
        <f>_xlfn.IFNA(VLOOKUP(A411,IndirectCost!B:L,11,FALSE),"")</f>
        <v>8</v>
      </c>
      <c r="Q411">
        <f t="shared" si="6"/>
        <v>0.08</v>
      </c>
    </row>
    <row r="412" spans="1:17">
      <c r="A412" t="s">
        <v>328</v>
      </c>
      <c r="B412" t="s">
        <v>1031</v>
      </c>
      <c r="C412" t="str">
        <f>VLOOKUP(A412,Districts!A:I,9,FALSE)</f>
        <v>MIDTOWN PRIMARY CHARTER SCHOOL</v>
      </c>
      <c r="D412" t="str">
        <f>VLOOKUP(A412,Districts!A:P,16,FALSE)</f>
        <v>LMHYT4KBPTC5</v>
      </c>
      <c r="F412" s="1">
        <v>45200</v>
      </c>
      <c r="G412" t="s">
        <v>529</v>
      </c>
      <c r="H412" t="s">
        <v>530</v>
      </c>
      <c r="I412" s="59">
        <f>_xlfn.IFNA(VLOOKUP(A412,'619'!D:F,3,FALSE),0)</f>
        <v>734.51</v>
      </c>
      <c r="J412" s="59">
        <f>_xlfn.IFNA(VLOOKUP(A412,'619'!D:Q,14,FALSE),0)</f>
        <v>1430.06</v>
      </c>
      <c r="K412" s="59">
        <f>_xlfn.IFNA(VLOOKUP(A412,'619'!D:Q,14,FALSE),0)</f>
        <v>1430.06</v>
      </c>
      <c r="O412" t="s">
        <v>531</v>
      </c>
      <c r="P412" t="str">
        <f>_xlfn.IFNA(VLOOKUP(A412,IndirectCost!B:L,11,FALSE),"")</f>
        <v/>
      </c>
      <c r="Q412">
        <f t="shared" si="6"/>
        <v>0</v>
      </c>
    </row>
    <row r="413" spans="1:17">
      <c r="A413" t="s">
        <v>329</v>
      </c>
      <c r="B413" t="s">
        <v>1032</v>
      </c>
      <c r="C413" t="str">
        <f>VLOOKUP(A413,Districts!A:I,9,FALSE)</f>
        <v>Milestones Charter School</v>
      </c>
      <c r="D413" t="str">
        <f>VLOOKUP(A413,Districts!A:P,16,FALSE)</f>
        <v>RT2JCKWYJBG3</v>
      </c>
      <c r="F413" s="1">
        <v>45200</v>
      </c>
      <c r="G413" t="s">
        <v>529</v>
      </c>
      <c r="H413" t="s">
        <v>530</v>
      </c>
      <c r="I413" s="59">
        <f>_xlfn.IFNA(VLOOKUP(A413,'619'!D:F,3,FALSE),0)</f>
        <v>519.54</v>
      </c>
      <c r="J413" s="59">
        <f>_xlfn.IFNA(VLOOKUP(A413,'619'!D:Q,14,FALSE),0)</f>
        <v>519.54</v>
      </c>
      <c r="K413" s="59">
        <f>_xlfn.IFNA(VLOOKUP(A413,'619'!D:Q,14,FALSE),0)</f>
        <v>519.54</v>
      </c>
      <c r="O413" t="s">
        <v>531</v>
      </c>
      <c r="P413" t="str">
        <f>_xlfn.IFNA(VLOOKUP(A413,IndirectCost!B:L,11,FALSE),"")</f>
        <v/>
      </c>
      <c r="Q413">
        <f t="shared" si="6"/>
        <v>0</v>
      </c>
    </row>
    <row r="414" spans="1:17">
      <c r="A414" t="s">
        <v>330</v>
      </c>
      <c r="B414" t="s">
        <v>1033</v>
      </c>
      <c r="C414" t="str">
        <f>VLOOKUP(A414,Districts!A:I,9,FALSE)</f>
        <v>Mingus Springs Charter School</v>
      </c>
      <c r="D414" t="str">
        <f>VLOOKUP(A414,Districts!A:P,16,FALSE)</f>
        <v>TNYULH5YDVJ8</v>
      </c>
      <c r="F414" s="1">
        <v>45200</v>
      </c>
      <c r="G414" t="s">
        <v>529</v>
      </c>
      <c r="H414" t="s">
        <v>530</v>
      </c>
      <c r="I414" s="59">
        <f>_xlfn.IFNA(VLOOKUP(A414,'619'!D:F,3,FALSE),0)</f>
        <v>443.21</v>
      </c>
      <c r="J414" s="59">
        <f>_xlfn.IFNA(VLOOKUP(A414,'619'!D:Q,14,FALSE),0)</f>
        <v>443.21</v>
      </c>
      <c r="K414" s="59">
        <f>_xlfn.IFNA(VLOOKUP(A414,'619'!D:Q,14,FALSE),0)</f>
        <v>443.21</v>
      </c>
      <c r="O414" t="s">
        <v>531</v>
      </c>
      <c r="P414" t="str">
        <f>_xlfn.IFNA(VLOOKUP(A414,IndirectCost!B:L,11,FALSE),"")</f>
        <v/>
      </c>
      <c r="Q414">
        <f t="shared" si="6"/>
        <v>0</v>
      </c>
    </row>
    <row r="415" spans="1:17">
      <c r="A415" t="s">
        <v>1034</v>
      </c>
      <c r="B415" t="s">
        <v>1035</v>
      </c>
      <c r="C415" t="str">
        <f>VLOOKUP(A415,Districts!A:I,9,FALSE)</f>
        <v>Mingus Union High School District</v>
      </c>
      <c r="D415" t="str">
        <f>VLOOKUP(A415,Districts!A:P,16,FALSE)</f>
        <v>PFZUXC5N7BS1</v>
      </c>
      <c r="F415" s="1">
        <v>45200</v>
      </c>
      <c r="G415" t="s">
        <v>529</v>
      </c>
      <c r="H415" t="s">
        <v>530</v>
      </c>
      <c r="I415" s="59">
        <f>_xlfn.IFNA(VLOOKUP(A415,'619'!D:F,3,FALSE),0)</f>
        <v>0</v>
      </c>
      <c r="J415" s="59">
        <f>_xlfn.IFNA(VLOOKUP(A415,'619'!D:Q,14,FALSE),0)</f>
        <v>0</v>
      </c>
      <c r="K415" s="59">
        <f>_xlfn.IFNA(VLOOKUP(A415,'619'!D:Q,14,FALSE),0)</f>
        <v>0</v>
      </c>
      <c r="O415" t="s">
        <v>531</v>
      </c>
      <c r="P415">
        <f>_xlfn.IFNA(VLOOKUP(A415,IndirectCost!B:L,11,FALSE),"")</f>
        <v>6.77</v>
      </c>
      <c r="Q415">
        <f t="shared" si="6"/>
        <v>6.7699999999999996E-2</v>
      </c>
    </row>
    <row r="416" spans="1:17">
      <c r="A416" t="s">
        <v>331</v>
      </c>
      <c r="B416" t="s">
        <v>1036</v>
      </c>
      <c r="C416" t="str">
        <f>VLOOKUP(A416,Districts!A:I,9,FALSE)</f>
        <v>Mobile Elementary School District</v>
      </c>
      <c r="D416" t="str">
        <f>VLOOKUP(A416,Districts!A:P,16,FALSE)</f>
        <v>L8Q3SHGHMRA1</v>
      </c>
      <c r="F416" s="1">
        <v>45200</v>
      </c>
      <c r="G416" t="s">
        <v>529</v>
      </c>
      <c r="H416" t="s">
        <v>530</v>
      </c>
      <c r="I416" s="59">
        <f>_xlfn.IFNA(VLOOKUP(A416,'619'!D:F,3,FALSE),0)</f>
        <v>370.69</v>
      </c>
      <c r="J416" s="59">
        <f>_xlfn.IFNA(VLOOKUP(A416,'619'!D:Q,14,FALSE),0)</f>
        <v>370.69</v>
      </c>
      <c r="K416" s="59">
        <f>_xlfn.IFNA(VLOOKUP(A416,'619'!D:Q,14,FALSE),0)</f>
        <v>370.69</v>
      </c>
      <c r="O416" t="s">
        <v>531</v>
      </c>
      <c r="P416" t="str">
        <f>_xlfn.IFNA(VLOOKUP(A416,IndirectCost!B:L,11,FALSE),"")</f>
        <v/>
      </c>
      <c r="Q416">
        <f t="shared" si="6"/>
        <v>0</v>
      </c>
    </row>
    <row r="417" spans="1:17">
      <c r="A417" t="s">
        <v>332</v>
      </c>
      <c r="B417" t="s">
        <v>1037</v>
      </c>
      <c r="C417" t="str">
        <f>VLOOKUP(A417,Districts!A:I,9,FALSE)</f>
        <v>Mohave Accelerated Elementary School, Inc</v>
      </c>
      <c r="D417" t="str">
        <f>VLOOKUP(A417,Districts!A:P,16,FALSE)</f>
        <v>WFL2JUL1CMM1</v>
      </c>
      <c r="F417" s="1">
        <v>45200</v>
      </c>
      <c r="G417" t="s">
        <v>529</v>
      </c>
      <c r="H417" t="s">
        <v>530</v>
      </c>
      <c r="I417" s="59">
        <f>_xlfn.IFNA(VLOOKUP(A417,'619'!D:F,3,FALSE),0)</f>
        <v>536.91</v>
      </c>
      <c r="J417" s="59">
        <f>_xlfn.IFNA(VLOOKUP(A417,'619'!D:Q,14,FALSE),0)</f>
        <v>0</v>
      </c>
      <c r="K417" s="59">
        <f>_xlfn.IFNA(VLOOKUP(A417,'619'!D:Q,14,FALSE),0)</f>
        <v>0</v>
      </c>
      <c r="O417" t="s">
        <v>531</v>
      </c>
      <c r="P417" t="str">
        <f>_xlfn.IFNA(VLOOKUP(A417,IndirectCost!B:L,11,FALSE),"")</f>
        <v/>
      </c>
      <c r="Q417">
        <f t="shared" si="6"/>
        <v>0</v>
      </c>
    </row>
    <row r="418" spans="1:17">
      <c r="A418" t="s">
        <v>1038</v>
      </c>
      <c r="B418" t="s">
        <v>1039</v>
      </c>
      <c r="C418" t="str">
        <f>VLOOKUP(A418,Districts!A:I,9,FALSE)</f>
        <v>MOHAVE ACCELERATED LEARNING CENTER</v>
      </c>
      <c r="D418" t="str">
        <f>VLOOKUP(A418,Districts!A:P,16,FALSE)</f>
        <v>YHNED5C125R5</v>
      </c>
      <c r="F418" s="1">
        <v>45200</v>
      </c>
      <c r="G418" t="s">
        <v>529</v>
      </c>
      <c r="H418" t="s">
        <v>530</v>
      </c>
      <c r="I418" s="59">
        <f>_xlfn.IFNA(VLOOKUP(A418,'619'!D:F,3,FALSE),0)</f>
        <v>0</v>
      </c>
      <c r="J418" s="59">
        <f>_xlfn.IFNA(VLOOKUP(A418,'619'!D:Q,14,FALSE),0)</f>
        <v>0</v>
      </c>
      <c r="K418" s="59">
        <f>_xlfn.IFNA(VLOOKUP(A418,'619'!D:Q,14,FALSE),0)</f>
        <v>0</v>
      </c>
      <c r="O418" t="s">
        <v>531</v>
      </c>
      <c r="P418" t="str">
        <f>_xlfn.IFNA(VLOOKUP(A418,IndirectCost!B:L,11,FALSE),"")</f>
        <v/>
      </c>
      <c r="Q418">
        <f t="shared" si="6"/>
        <v>0</v>
      </c>
    </row>
    <row r="419" spans="1:17">
      <c r="A419" t="s">
        <v>1040</v>
      </c>
      <c r="B419" t="s">
        <v>1041</v>
      </c>
      <c r="C419" t="str">
        <f>VLOOKUP(A419,Districts!A:I,9,FALSE)</f>
        <v>Mohave, County of</v>
      </c>
      <c r="D419" t="str">
        <f>VLOOKUP(A419,Districts!A:P,16,FALSE)</f>
        <v>V35YJGS4W9Y1</v>
      </c>
      <c r="F419" s="1">
        <v>45200</v>
      </c>
      <c r="G419" t="s">
        <v>529</v>
      </c>
      <c r="H419" t="s">
        <v>530</v>
      </c>
      <c r="I419" s="59">
        <f>_xlfn.IFNA(VLOOKUP(A419,'619'!D:F,3,FALSE),0)</f>
        <v>0</v>
      </c>
      <c r="J419" s="59">
        <f>_xlfn.IFNA(VLOOKUP(A419,'619'!D:Q,14,FALSE),0)</f>
        <v>0</v>
      </c>
      <c r="K419" s="59">
        <f>_xlfn.IFNA(VLOOKUP(A419,'619'!D:Q,14,FALSE),0)</f>
        <v>0</v>
      </c>
      <c r="O419" t="s">
        <v>531</v>
      </c>
      <c r="P419" t="str">
        <f>_xlfn.IFNA(VLOOKUP(A419,IndirectCost!B:L,11,FALSE),"")</f>
        <v/>
      </c>
      <c r="Q419">
        <f t="shared" si="6"/>
        <v>0</v>
      </c>
    </row>
    <row r="420" spans="1:17">
      <c r="A420" t="s">
        <v>1042</v>
      </c>
      <c r="B420" t="s">
        <v>1043</v>
      </c>
      <c r="C420">
        <f>VLOOKUP(A420,Districts!A:I,9,FALSE)</f>
        <v>0</v>
      </c>
      <c r="D420">
        <f>VLOOKUP(A420,Districts!A:P,16,FALSE)</f>
        <v>0</v>
      </c>
      <c r="F420" s="1">
        <v>45200</v>
      </c>
      <c r="G420" t="s">
        <v>529</v>
      </c>
      <c r="H420" t="s">
        <v>530</v>
      </c>
      <c r="I420" s="59">
        <f>_xlfn.IFNA(VLOOKUP(A420,'619'!D:F,3,FALSE),0)</f>
        <v>0</v>
      </c>
      <c r="J420" s="59">
        <f>_xlfn.IFNA(VLOOKUP(A420,'619'!D:Q,14,FALSE),0)</f>
        <v>0</v>
      </c>
      <c r="K420" s="59">
        <f>_xlfn.IFNA(VLOOKUP(A420,'619'!D:Q,14,FALSE),0)</f>
        <v>0</v>
      </c>
      <c r="O420" t="s">
        <v>531</v>
      </c>
      <c r="P420" t="str">
        <f>_xlfn.IFNA(VLOOKUP(A420,IndirectCost!B:L,11,FALSE),"")</f>
        <v/>
      </c>
      <c r="Q420">
        <f t="shared" si="6"/>
        <v>0</v>
      </c>
    </row>
    <row r="421" spans="1:17">
      <c r="A421" t="s">
        <v>333</v>
      </c>
      <c r="B421" t="s">
        <v>1044</v>
      </c>
      <c r="C421" t="str">
        <f>VLOOKUP(A421,Districts!A:I,9,FALSE)</f>
        <v>Mohave Valley Elementary School District 16</v>
      </c>
      <c r="D421" t="str">
        <f>VLOOKUP(A421,Districts!A:P,16,FALSE)</f>
        <v>CDQXLV7RAK98</v>
      </c>
      <c r="F421" s="1">
        <v>45200</v>
      </c>
      <c r="G421" t="s">
        <v>529</v>
      </c>
      <c r="H421" t="s">
        <v>530</v>
      </c>
      <c r="I421" s="59">
        <f>_xlfn.IFNA(VLOOKUP(A421,'619'!D:F,3,FALSE),0)</f>
        <v>10488.96</v>
      </c>
      <c r="J421" s="59">
        <f>_xlfn.IFNA(VLOOKUP(A421,'619'!D:Q,14,FALSE),0)</f>
        <v>10616.92</v>
      </c>
      <c r="K421" s="59">
        <f>_xlfn.IFNA(VLOOKUP(A421,'619'!D:Q,14,FALSE),0)</f>
        <v>10616.92</v>
      </c>
      <c r="O421" t="s">
        <v>531</v>
      </c>
      <c r="P421">
        <f>_xlfn.IFNA(VLOOKUP(A421,IndirectCost!B:L,11,FALSE),"")</f>
        <v>8</v>
      </c>
      <c r="Q421">
        <f t="shared" si="6"/>
        <v>0.08</v>
      </c>
    </row>
    <row r="422" spans="1:17">
      <c r="A422" t="s">
        <v>334</v>
      </c>
      <c r="B422" t="s">
        <v>1045</v>
      </c>
      <c r="C422" t="str">
        <f>VLOOKUP(A422,Districts!A:I,9,FALSE)</f>
        <v>Mohawk Valley School District</v>
      </c>
      <c r="D422" t="str">
        <f>VLOOKUP(A422,Districts!A:P,16,FALSE)</f>
        <v>NAJ6GH1SETM9</v>
      </c>
      <c r="F422" s="1">
        <v>45200</v>
      </c>
      <c r="G422" t="s">
        <v>529</v>
      </c>
      <c r="H422" t="s">
        <v>530</v>
      </c>
      <c r="I422" s="59">
        <f>_xlfn.IFNA(VLOOKUP(A422,'619'!D:F,3,FALSE),0)</f>
        <v>1172.33</v>
      </c>
      <c r="J422" s="59">
        <f>_xlfn.IFNA(VLOOKUP(A422,'619'!D:Q,14,FALSE),0)</f>
        <v>1172.33</v>
      </c>
      <c r="K422" s="59">
        <f>_xlfn.IFNA(VLOOKUP(A422,'619'!D:Q,14,FALSE),0)</f>
        <v>1172.33</v>
      </c>
      <c r="O422" t="s">
        <v>531</v>
      </c>
      <c r="P422" t="str">
        <f>_xlfn.IFNA(VLOOKUP(A422,IndirectCost!B:L,11,FALSE),"")</f>
        <v/>
      </c>
      <c r="Q422">
        <f t="shared" si="6"/>
        <v>0</v>
      </c>
    </row>
    <row r="423" spans="1:17">
      <c r="A423" t="s">
        <v>335</v>
      </c>
      <c r="B423" t="s">
        <v>1046</v>
      </c>
      <c r="C423" t="str">
        <f>VLOOKUP(A423,Districts!A:I,9,FALSE)</f>
        <v>Montessori Academy Inc.</v>
      </c>
      <c r="D423" t="str">
        <f>VLOOKUP(A423,Districts!A:P,16,FALSE)</f>
        <v>GFLFALQ9ATN6</v>
      </c>
      <c r="F423" s="1">
        <v>45200</v>
      </c>
      <c r="G423" t="s">
        <v>529</v>
      </c>
      <c r="H423" t="s">
        <v>530</v>
      </c>
      <c r="I423" s="59">
        <f>_xlfn.IFNA(VLOOKUP(A423,'619'!D:F,3,FALSE),0)</f>
        <v>420.76</v>
      </c>
      <c r="J423" s="59">
        <f>_xlfn.IFNA(VLOOKUP(A423,'619'!D:Q,14,FALSE),0)</f>
        <v>420.76</v>
      </c>
      <c r="K423" s="59">
        <f>_xlfn.IFNA(VLOOKUP(A423,'619'!D:Q,14,FALSE),0)</f>
        <v>420.76</v>
      </c>
      <c r="O423" t="s">
        <v>531</v>
      </c>
      <c r="P423" t="str">
        <f>_xlfn.IFNA(VLOOKUP(A423,IndirectCost!B:L,11,FALSE),"")</f>
        <v/>
      </c>
      <c r="Q423">
        <f t="shared" si="6"/>
        <v>0</v>
      </c>
    </row>
    <row r="424" spans="1:17">
      <c r="A424" t="s">
        <v>336</v>
      </c>
      <c r="B424" t="s">
        <v>1047</v>
      </c>
      <c r="C424" t="str">
        <f>VLOOKUP(A424,Districts!A:I,9,FALSE)</f>
        <v>Montessori Day Public Schools, Chartered</v>
      </c>
      <c r="D424" t="str">
        <f>VLOOKUP(A424,Districts!A:P,16,FALSE)</f>
        <v>EQVSD4LEWK73</v>
      </c>
      <c r="F424" s="1">
        <v>45200</v>
      </c>
      <c r="G424" t="s">
        <v>529</v>
      </c>
      <c r="H424" t="s">
        <v>530</v>
      </c>
      <c r="I424" s="59">
        <f>_xlfn.IFNA(VLOOKUP(A424,'619'!D:F,3,FALSE),0)</f>
        <v>419.91</v>
      </c>
      <c r="J424" s="59">
        <f>_xlfn.IFNA(VLOOKUP(A424,'619'!D:Q,14,FALSE),0)</f>
        <v>0</v>
      </c>
      <c r="K424" s="59">
        <f>_xlfn.IFNA(VLOOKUP(A424,'619'!D:Q,14,FALSE),0)</f>
        <v>0</v>
      </c>
      <c r="O424" t="s">
        <v>531</v>
      </c>
      <c r="P424" t="str">
        <f>_xlfn.IFNA(VLOOKUP(A424,IndirectCost!B:L,11,FALSE),"")</f>
        <v/>
      </c>
      <c r="Q424">
        <f t="shared" si="6"/>
        <v>0</v>
      </c>
    </row>
    <row r="425" spans="1:17">
      <c r="A425" t="s">
        <v>337</v>
      </c>
      <c r="B425" t="s">
        <v>1048</v>
      </c>
      <c r="C425" t="str">
        <f>VLOOKUP(A425,Districts!A:I,9,FALSE)</f>
        <v>Montessori Ed Center Charter School</v>
      </c>
      <c r="D425" t="str">
        <f>VLOOKUP(A425,Districts!A:P,16,FALSE)</f>
        <v>YSBEWEDLYNH5</v>
      </c>
      <c r="F425" s="1">
        <v>45200</v>
      </c>
      <c r="G425" t="s">
        <v>529</v>
      </c>
      <c r="H425" t="s">
        <v>530</v>
      </c>
      <c r="I425" s="59">
        <f>_xlfn.IFNA(VLOOKUP(A425,'619'!D:F,3,FALSE),0)</f>
        <v>1174.8800000000001</v>
      </c>
      <c r="J425" s="59">
        <f>_xlfn.IFNA(VLOOKUP(A425,'619'!D:Q,14,FALSE),0)</f>
        <v>1174.8800000000001</v>
      </c>
      <c r="K425" s="59">
        <f>_xlfn.IFNA(VLOOKUP(A425,'619'!D:Q,14,FALSE),0)</f>
        <v>1174.8800000000001</v>
      </c>
      <c r="O425" t="s">
        <v>531</v>
      </c>
      <c r="P425" t="str">
        <f>_xlfn.IFNA(VLOOKUP(A425,IndirectCost!B:L,11,FALSE),"")</f>
        <v/>
      </c>
      <c r="Q425">
        <f t="shared" si="6"/>
        <v>0</v>
      </c>
    </row>
    <row r="426" spans="1:17">
      <c r="A426" t="s">
        <v>338</v>
      </c>
      <c r="B426" t="s">
        <v>1049</v>
      </c>
      <c r="C426" t="str">
        <f>VLOOKUP(A426,Districts!A:I,9,FALSE)</f>
        <v>Morenci School District 18</v>
      </c>
      <c r="D426" t="str">
        <f>VLOOKUP(A426,Districts!A:P,16,FALSE)</f>
        <v>DN94XNVXCDX1</v>
      </c>
      <c r="F426" s="1">
        <v>45200</v>
      </c>
      <c r="G426" t="s">
        <v>529</v>
      </c>
      <c r="H426" t="s">
        <v>530</v>
      </c>
      <c r="I426" s="59">
        <f>_xlfn.IFNA(VLOOKUP(A426,'619'!D:F,3,FALSE),0)</f>
        <v>4903.55</v>
      </c>
      <c r="J426" s="59">
        <f>_xlfn.IFNA(VLOOKUP(A426,'619'!D:Q,14,FALSE),0)</f>
        <v>5388.13</v>
      </c>
      <c r="K426" s="59">
        <f>_xlfn.IFNA(VLOOKUP(A426,'619'!D:Q,14,FALSE),0)</f>
        <v>5388.13</v>
      </c>
      <c r="O426" t="s">
        <v>531</v>
      </c>
      <c r="P426" t="str">
        <f>_xlfn.IFNA(VLOOKUP(A426,IndirectCost!B:L,11,FALSE),"")</f>
        <v/>
      </c>
      <c r="Q426">
        <f t="shared" si="6"/>
        <v>0</v>
      </c>
    </row>
    <row r="427" spans="1:17">
      <c r="A427" t="s">
        <v>340</v>
      </c>
      <c r="B427" t="s">
        <v>1050</v>
      </c>
      <c r="C427" t="str">
        <f>VLOOKUP(A427,Districts!A:I,9,FALSE)</f>
        <v>SUN VALLEY ACADEMY - AVONDALE, INC.</v>
      </c>
      <c r="D427" t="str">
        <f>VLOOKUP(A427,Districts!A:P,16,FALSE)</f>
        <v>JEMRYMRSYMK8</v>
      </c>
      <c r="F427" s="1">
        <v>45200</v>
      </c>
      <c r="G427" t="s">
        <v>529</v>
      </c>
      <c r="H427" t="s">
        <v>530</v>
      </c>
      <c r="I427" s="59">
        <f>_xlfn.IFNA(VLOOKUP(A427,'619'!D:F,3,FALSE),0)</f>
        <v>352.19</v>
      </c>
      <c r="J427" s="59">
        <f>_xlfn.IFNA(VLOOKUP(A427,'619'!D:Q,14,FALSE),0)</f>
        <v>352.19</v>
      </c>
      <c r="K427" s="59">
        <f>_xlfn.IFNA(VLOOKUP(A427,'619'!D:Q,14,FALSE),0)</f>
        <v>352.19</v>
      </c>
      <c r="O427" t="s">
        <v>531</v>
      </c>
      <c r="P427">
        <f>_xlfn.IFNA(VLOOKUP(A427,IndirectCost!B:L,11,FALSE),"")</f>
        <v>0</v>
      </c>
      <c r="Q427">
        <f t="shared" si="6"/>
        <v>0</v>
      </c>
    </row>
    <row r="428" spans="1:17">
      <c r="A428" t="s">
        <v>339</v>
      </c>
      <c r="B428" t="s">
        <v>1050</v>
      </c>
      <c r="C428" t="str">
        <f>VLOOKUP(A428,Districts!A:I,9,FALSE)</f>
        <v>Morrison Education Group Inc</v>
      </c>
      <c r="D428" t="str">
        <f>VLOOKUP(A428,Districts!A:P,16,FALSE)</f>
        <v>DE42JW7J1B16</v>
      </c>
      <c r="F428" s="1">
        <v>45200</v>
      </c>
      <c r="G428" t="s">
        <v>529</v>
      </c>
      <c r="H428" t="s">
        <v>530</v>
      </c>
      <c r="I428" s="59">
        <f>_xlfn.IFNA(VLOOKUP(A428,'619'!D:F,3,FALSE),0)</f>
        <v>596.67999999999995</v>
      </c>
      <c r="J428" s="59">
        <f>_xlfn.IFNA(VLOOKUP(A428,'619'!D:Q,14,FALSE),0)</f>
        <v>596.67999999999995</v>
      </c>
      <c r="K428" s="59">
        <f>_xlfn.IFNA(VLOOKUP(A428,'619'!D:Q,14,FALSE),0)</f>
        <v>596.67999999999995</v>
      </c>
      <c r="O428" t="s">
        <v>531</v>
      </c>
      <c r="P428">
        <f>_xlfn.IFNA(VLOOKUP(A428,IndirectCost!B:L,11,FALSE),"")</f>
        <v>0</v>
      </c>
      <c r="Q428">
        <f t="shared" si="6"/>
        <v>0</v>
      </c>
    </row>
    <row r="429" spans="1:17">
      <c r="A429" t="s">
        <v>341</v>
      </c>
      <c r="B429" t="s">
        <v>1051</v>
      </c>
      <c r="C429" t="str">
        <f>VLOOKUP(A429,Districts!A:I,9,FALSE)</f>
        <v>MORRISTOWN ELEMENTARY DISTRICT</v>
      </c>
      <c r="D429" t="str">
        <f>VLOOKUP(A429,Districts!A:P,16,FALSE)</f>
        <v>LK2HAJ4WZNM4</v>
      </c>
      <c r="F429" s="1">
        <v>45200</v>
      </c>
      <c r="G429" t="s">
        <v>529</v>
      </c>
      <c r="H429" t="s">
        <v>530</v>
      </c>
      <c r="I429" s="59">
        <f>_xlfn.IFNA(VLOOKUP(A429,'619'!D:F,3,FALSE),0)</f>
        <v>3256.47</v>
      </c>
      <c r="J429" s="59">
        <f>_xlfn.IFNA(VLOOKUP(A429,'619'!D:Q,14,FALSE),0)</f>
        <v>6476.45</v>
      </c>
      <c r="K429" s="59">
        <f>_xlfn.IFNA(VLOOKUP(A429,'619'!D:Q,14,FALSE),0)</f>
        <v>6476.45</v>
      </c>
      <c r="O429" t="s">
        <v>531</v>
      </c>
      <c r="P429">
        <f>_xlfn.IFNA(VLOOKUP(A429,IndirectCost!B:L,11,FALSE),"")</f>
        <v>8</v>
      </c>
      <c r="Q429">
        <f t="shared" si="6"/>
        <v>0.08</v>
      </c>
    </row>
    <row r="430" spans="1:17">
      <c r="A430" t="s">
        <v>342</v>
      </c>
      <c r="B430" t="s">
        <v>1052</v>
      </c>
      <c r="C430" t="str">
        <f>VLOOKUP(A430,Districts!A:I,9,FALSE)</f>
        <v>Mountain Oak Charter School</v>
      </c>
      <c r="D430" t="str">
        <f>VLOOKUP(A430,Districts!A:P,16,FALSE)</f>
        <v>ZY25NSW4M4U6</v>
      </c>
      <c r="F430" s="1">
        <v>45200</v>
      </c>
      <c r="G430" t="s">
        <v>529</v>
      </c>
      <c r="H430" t="s">
        <v>530</v>
      </c>
      <c r="I430" s="59">
        <f>_xlfn.IFNA(VLOOKUP(A430,'619'!D:F,3,FALSE),0)</f>
        <v>746.69</v>
      </c>
      <c r="J430" s="59">
        <f>_xlfn.IFNA(VLOOKUP(A430,'619'!D:Q,14,FALSE),0)</f>
        <v>746.69</v>
      </c>
      <c r="K430" s="59">
        <f>_xlfn.IFNA(VLOOKUP(A430,'619'!D:Q,14,FALSE),0)</f>
        <v>746.69</v>
      </c>
      <c r="O430" t="s">
        <v>531</v>
      </c>
      <c r="P430" t="str">
        <f>_xlfn.IFNA(VLOOKUP(A430,IndirectCost!B:L,11,FALSE),"")</f>
        <v/>
      </c>
      <c r="Q430">
        <f t="shared" si="6"/>
        <v>0</v>
      </c>
    </row>
    <row r="431" spans="1:17">
      <c r="A431" t="s">
        <v>343</v>
      </c>
      <c r="B431" t="s">
        <v>1053</v>
      </c>
      <c r="C431" t="str">
        <f>VLOOKUP(A431,Districts!A:I,9,FALSE)</f>
        <v>Mountain School, Inc.</v>
      </c>
      <c r="D431" t="str">
        <f>VLOOKUP(A431,Districts!A:P,16,FALSE)</f>
        <v>F64HVMNT6CE8</v>
      </c>
      <c r="F431" s="1">
        <v>45200</v>
      </c>
      <c r="G431" t="s">
        <v>529</v>
      </c>
      <c r="H431" t="s">
        <v>530</v>
      </c>
      <c r="I431" s="59">
        <f>_xlfn.IFNA(VLOOKUP(A431,'619'!D:F,3,FALSE),0)</f>
        <v>749.32</v>
      </c>
      <c r="J431" s="59">
        <f>_xlfn.IFNA(VLOOKUP(A431,'619'!D:Q,14,FALSE),0)</f>
        <v>1847.47</v>
      </c>
      <c r="K431" s="59">
        <f>_xlfn.IFNA(VLOOKUP(A431,'619'!D:Q,14,FALSE),0)</f>
        <v>1847.47</v>
      </c>
      <c r="O431" t="s">
        <v>531</v>
      </c>
      <c r="P431" t="str">
        <f>_xlfn.IFNA(VLOOKUP(A431,IndirectCost!B:L,11,FALSE),"")</f>
        <v/>
      </c>
      <c r="Q431">
        <f t="shared" si="6"/>
        <v>0</v>
      </c>
    </row>
    <row r="432" spans="1:17">
      <c r="A432" t="s">
        <v>344</v>
      </c>
      <c r="B432" t="s">
        <v>1054</v>
      </c>
      <c r="C432" t="str">
        <f>VLOOKUP(A432,Districts!A:I,9,FALSE)</f>
        <v>Murphy School District No 21</v>
      </c>
      <c r="D432" t="str">
        <f>VLOOKUP(A432,Districts!A:P,16,FALSE)</f>
        <v>WD37GFJN5XR8</v>
      </c>
      <c r="F432" s="1">
        <v>45200</v>
      </c>
      <c r="G432" t="s">
        <v>529</v>
      </c>
      <c r="H432" t="s">
        <v>530</v>
      </c>
      <c r="I432" s="59">
        <f>_xlfn.IFNA(VLOOKUP(A432,'619'!D:F,3,FALSE),0)</f>
        <v>13441.71</v>
      </c>
      <c r="J432" s="59">
        <f>_xlfn.IFNA(VLOOKUP(A432,'619'!D:Q,14,FALSE),0)</f>
        <v>15747.45</v>
      </c>
      <c r="K432" s="59">
        <f>_xlfn.IFNA(VLOOKUP(A432,'619'!D:Q,14,FALSE),0)</f>
        <v>15747.45</v>
      </c>
      <c r="O432" t="s">
        <v>531</v>
      </c>
      <c r="P432">
        <f>_xlfn.IFNA(VLOOKUP(A432,IndirectCost!B:L,11,FALSE),"")</f>
        <v>2.96</v>
      </c>
      <c r="Q432">
        <f t="shared" si="6"/>
        <v>2.9600000000000001E-2</v>
      </c>
    </row>
    <row r="433" spans="1:17">
      <c r="A433" t="s">
        <v>345</v>
      </c>
      <c r="B433" t="s">
        <v>1055</v>
      </c>
      <c r="C433" t="str">
        <f>VLOOKUP(A433,Districts!A:I,9,FALSE)</f>
        <v>Naco Elementary School District #23</v>
      </c>
      <c r="D433" t="str">
        <f>VLOOKUP(A433,Districts!A:P,16,FALSE)</f>
        <v>DARFCMBALGL9</v>
      </c>
      <c r="F433" s="1">
        <v>45200</v>
      </c>
      <c r="G433" t="s">
        <v>529</v>
      </c>
      <c r="H433" t="s">
        <v>530</v>
      </c>
      <c r="I433" s="59">
        <f>_xlfn.IFNA(VLOOKUP(A433,'619'!D:F,3,FALSE),0)</f>
        <v>421.21</v>
      </c>
      <c r="J433" s="59">
        <f>_xlfn.IFNA(VLOOKUP(A433,'619'!D:Q,14,FALSE),0)</f>
        <v>421.21</v>
      </c>
      <c r="K433" s="59">
        <f>_xlfn.IFNA(VLOOKUP(A433,'619'!D:Q,14,FALSE),0)</f>
        <v>421.21</v>
      </c>
      <c r="O433" t="s">
        <v>531</v>
      </c>
      <c r="P433">
        <f>_xlfn.IFNA(VLOOKUP(A433,IndirectCost!B:L,11,FALSE),"")</f>
        <v>8</v>
      </c>
      <c r="Q433">
        <f t="shared" si="6"/>
        <v>0.08</v>
      </c>
    </row>
    <row r="434" spans="1:17">
      <c r="A434" t="s">
        <v>346</v>
      </c>
      <c r="B434" t="s">
        <v>1056</v>
      </c>
      <c r="C434" t="str">
        <f>VLOOKUP(A434,Districts!A:I,9,FALSE)</f>
        <v>Nadaburg Unified School District NO. 81</v>
      </c>
      <c r="D434" t="str">
        <f>VLOOKUP(A434,Districts!A:P,16,FALSE)</f>
        <v>HKGBN17ZB476</v>
      </c>
      <c r="F434" s="1">
        <v>45200</v>
      </c>
      <c r="G434" t="s">
        <v>529</v>
      </c>
      <c r="H434" t="s">
        <v>530</v>
      </c>
      <c r="I434" s="59">
        <f>_xlfn.IFNA(VLOOKUP(A434,'619'!D:F,3,FALSE),0)</f>
        <v>8921.06</v>
      </c>
      <c r="J434" s="59">
        <f>_xlfn.IFNA(VLOOKUP(A434,'619'!D:Q,14,FALSE),0)</f>
        <v>16307.86</v>
      </c>
      <c r="K434" s="59">
        <f>_xlfn.IFNA(VLOOKUP(A434,'619'!D:Q,14,FALSE),0)</f>
        <v>16307.86</v>
      </c>
      <c r="O434" t="s">
        <v>531</v>
      </c>
      <c r="P434">
        <f>_xlfn.IFNA(VLOOKUP(A434,IndirectCost!B:L,11,FALSE),"")</f>
        <v>5.83</v>
      </c>
      <c r="Q434">
        <f t="shared" si="6"/>
        <v>5.8299999999999998E-2</v>
      </c>
    </row>
    <row r="435" spans="1:17">
      <c r="A435" t="s">
        <v>1057</v>
      </c>
      <c r="B435" t="s">
        <v>1058</v>
      </c>
      <c r="C435" t="str">
        <f>VLOOKUP(A435,Districts!A:I,9,FALSE)</f>
        <v>Navajo County Accommodation District</v>
      </c>
      <c r="D435" t="str">
        <f>VLOOKUP(A435,Districts!A:P,16,FALSE)</f>
        <v>USJ9LN85KAV6</v>
      </c>
      <c r="F435" s="1">
        <v>45200</v>
      </c>
      <c r="G435" t="s">
        <v>529</v>
      </c>
      <c r="H435" t="s">
        <v>530</v>
      </c>
      <c r="I435" s="59">
        <f>_xlfn.IFNA(VLOOKUP(A435,'619'!D:F,3,FALSE),0)</f>
        <v>0</v>
      </c>
      <c r="J435" s="59">
        <f>_xlfn.IFNA(VLOOKUP(A435,'619'!D:Q,14,FALSE),0)</f>
        <v>0</v>
      </c>
      <c r="K435" s="59">
        <f>_xlfn.IFNA(VLOOKUP(A435,'619'!D:Q,14,FALSE),0)</f>
        <v>0</v>
      </c>
      <c r="O435" t="s">
        <v>531</v>
      </c>
      <c r="P435" t="str">
        <f>_xlfn.IFNA(VLOOKUP(A435,IndirectCost!B:L,11,FALSE),"")</f>
        <v/>
      </c>
      <c r="Q435">
        <f t="shared" si="6"/>
        <v>0</v>
      </c>
    </row>
    <row r="436" spans="1:17">
      <c r="A436" t="s">
        <v>1059</v>
      </c>
      <c r="B436" t="s">
        <v>1060</v>
      </c>
      <c r="C436" t="str">
        <f>VLOOKUP(A436,Districts!A:I,9,FALSE)</f>
        <v>Hope School</v>
      </c>
      <c r="D436" t="str">
        <f>VLOOKUP(A436,Districts!A:P,16,FALSE)</f>
        <v>JNTYPMSLJCJ3</v>
      </c>
      <c r="F436" s="1">
        <v>45200</v>
      </c>
      <c r="G436" t="s">
        <v>529</v>
      </c>
      <c r="H436" t="s">
        <v>530</v>
      </c>
      <c r="I436" s="59">
        <f>_xlfn.IFNA(VLOOKUP(A436,'619'!D:F,3,FALSE),0)</f>
        <v>0</v>
      </c>
      <c r="J436" s="59">
        <f>_xlfn.IFNA(VLOOKUP(A436,'619'!D:Q,14,FALSE),0)</f>
        <v>0</v>
      </c>
      <c r="K436" s="59">
        <f>_xlfn.IFNA(VLOOKUP(A436,'619'!D:Q,14,FALSE),0)</f>
        <v>0</v>
      </c>
      <c r="O436" t="s">
        <v>531</v>
      </c>
      <c r="P436" t="str">
        <f>_xlfn.IFNA(VLOOKUP(A436,IndirectCost!B:L,11,FALSE),"")</f>
        <v/>
      </c>
      <c r="Q436">
        <f t="shared" si="6"/>
        <v>0</v>
      </c>
    </row>
    <row r="437" spans="1:17">
      <c r="A437" t="s">
        <v>347</v>
      </c>
      <c r="B437" t="s">
        <v>1061</v>
      </c>
      <c r="C437" t="str">
        <f>VLOOKUP(A437,Districts!A:I,9,FALSE)</f>
        <v>New Horizon School for the Performing Arts</v>
      </c>
      <c r="D437" t="str">
        <f>VLOOKUP(A437,Districts!A:P,16,FALSE)</f>
        <v>X2GYRTGAUT18</v>
      </c>
      <c r="F437" s="1">
        <v>45200</v>
      </c>
      <c r="G437" t="s">
        <v>529</v>
      </c>
      <c r="H437" t="s">
        <v>530</v>
      </c>
      <c r="I437" s="59">
        <f>_xlfn.IFNA(VLOOKUP(A437,'619'!D:F,3,FALSE),0)</f>
        <v>443.82</v>
      </c>
      <c r="J437" s="59">
        <f>_xlfn.IFNA(VLOOKUP(A437,'619'!D:Q,14,FALSE),0)</f>
        <v>443.82</v>
      </c>
      <c r="K437" s="59">
        <f>_xlfn.IFNA(VLOOKUP(A437,'619'!D:Q,14,FALSE),0)</f>
        <v>443.82</v>
      </c>
      <c r="O437" t="s">
        <v>531</v>
      </c>
      <c r="P437" t="str">
        <f>_xlfn.IFNA(VLOOKUP(A437,IndirectCost!B:L,11,FALSE),"")</f>
        <v/>
      </c>
      <c r="Q437">
        <f t="shared" si="6"/>
        <v>0</v>
      </c>
    </row>
    <row r="438" spans="1:17">
      <c r="A438" t="s">
        <v>348</v>
      </c>
      <c r="B438" t="s">
        <v>1062</v>
      </c>
      <c r="C438" t="str">
        <f>VLOOKUP(A438,Districts!A:I,9,FALSE)</f>
        <v>New Learning Ventures, Inc</v>
      </c>
      <c r="D438" t="str">
        <f>VLOOKUP(A438,Districts!A:P,16,FALSE)</f>
        <v>M2QEEC4LNK66</v>
      </c>
      <c r="F438" s="1">
        <v>45200</v>
      </c>
      <c r="G438" t="s">
        <v>529</v>
      </c>
      <c r="H438" t="s">
        <v>530</v>
      </c>
      <c r="I438" s="59">
        <f>_xlfn.IFNA(VLOOKUP(A438,'619'!D:F,3,FALSE),0)</f>
        <v>1409.41</v>
      </c>
      <c r="J438" s="59">
        <f>_xlfn.IFNA(VLOOKUP(A438,'619'!D:Q,14,FALSE),0)</f>
        <v>1409.41</v>
      </c>
      <c r="K438" s="59">
        <f>_xlfn.IFNA(VLOOKUP(A438,'619'!D:Q,14,FALSE),0)</f>
        <v>1409.41</v>
      </c>
      <c r="O438" t="s">
        <v>531</v>
      </c>
      <c r="P438" t="str">
        <f>_xlfn.IFNA(VLOOKUP(A438,IndirectCost!B:L,11,FALSE),"")</f>
        <v/>
      </c>
      <c r="Q438">
        <f t="shared" si="6"/>
        <v>0</v>
      </c>
    </row>
    <row r="439" spans="1:17">
      <c r="A439" t="s">
        <v>1063</v>
      </c>
      <c r="B439" t="s">
        <v>1064</v>
      </c>
      <c r="C439" t="str">
        <f>VLOOKUP(A439,Districts!A:I,9,FALSE)</f>
        <v>NEW SCHOOL FOR ARTS MIDDLE SCHOOL</v>
      </c>
      <c r="D439" t="str">
        <f>VLOOKUP(A439,Districts!A:P,16,FALSE)</f>
        <v>CTZDYGK5ACK8</v>
      </c>
      <c r="F439" s="1">
        <v>45200</v>
      </c>
      <c r="G439" t="s">
        <v>529</v>
      </c>
      <c r="H439" t="s">
        <v>530</v>
      </c>
      <c r="I439" s="59">
        <f>_xlfn.IFNA(VLOOKUP(A439,'619'!D:F,3,FALSE),0)</f>
        <v>0</v>
      </c>
      <c r="J439" s="59">
        <f>_xlfn.IFNA(VLOOKUP(A439,'619'!D:Q,14,FALSE),0)</f>
        <v>0</v>
      </c>
      <c r="K439" s="59">
        <f>_xlfn.IFNA(VLOOKUP(A439,'619'!D:Q,14,FALSE),0)</f>
        <v>0</v>
      </c>
      <c r="O439" t="s">
        <v>531</v>
      </c>
      <c r="P439" t="str">
        <f>_xlfn.IFNA(VLOOKUP(A439,IndirectCost!B:L,11,FALSE),"")</f>
        <v/>
      </c>
      <c r="Q439">
        <f t="shared" si="6"/>
        <v>0</v>
      </c>
    </row>
    <row r="440" spans="1:17">
      <c r="A440" t="s">
        <v>1065</v>
      </c>
      <c r="B440" t="s">
        <v>1066</v>
      </c>
      <c r="C440" t="str">
        <f>VLOOKUP(A440,Districts!A:I,9,FALSE)</f>
        <v>New School for the Arts</v>
      </c>
      <c r="D440" t="str">
        <f>VLOOKUP(A440,Districts!A:P,16,FALSE)</f>
        <v>GLYFBMB6AD98</v>
      </c>
      <c r="F440" s="1">
        <v>45200</v>
      </c>
      <c r="G440" t="s">
        <v>529</v>
      </c>
      <c r="H440" t="s">
        <v>530</v>
      </c>
      <c r="I440" s="59">
        <f>_xlfn.IFNA(VLOOKUP(A440,'619'!D:F,3,FALSE),0)</f>
        <v>0</v>
      </c>
      <c r="J440" s="59">
        <f>_xlfn.IFNA(VLOOKUP(A440,'619'!D:Q,14,FALSE),0)</f>
        <v>0</v>
      </c>
      <c r="K440" s="59">
        <f>_xlfn.IFNA(VLOOKUP(A440,'619'!D:Q,14,FALSE),0)</f>
        <v>0</v>
      </c>
      <c r="O440" t="s">
        <v>531</v>
      </c>
      <c r="P440" t="str">
        <f>_xlfn.IFNA(VLOOKUP(A440,IndirectCost!B:L,11,FALSE),"")</f>
        <v/>
      </c>
      <c r="Q440">
        <f t="shared" si="6"/>
        <v>0</v>
      </c>
    </row>
    <row r="441" spans="1:17">
      <c r="A441" t="s">
        <v>349</v>
      </c>
      <c r="B441" t="s">
        <v>1067</v>
      </c>
      <c r="C441" t="str">
        <f>VLOOKUP(A441,Districts!A:I,9,FALSE)</f>
        <v>New World Educational Center</v>
      </c>
      <c r="D441" t="str">
        <f>VLOOKUP(A441,Districts!A:P,16,FALSE)</f>
        <v>M6Y3JZE4L523</v>
      </c>
      <c r="F441" s="1">
        <v>45200</v>
      </c>
      <c r="G441" t="s">
        <v>529</v>
      </c>
      <c r="H441" t="s">
        <v>530</v>
      </c>
      <c r="I441" s="59">
        <f>_xlfn.IFNA(VLOOKUP(A441,'619'!D:F,3,FALSE),0)</f>
        <v>357.74</v>
      </c>
      <c r="J441" s="59">
        <f>_xlfn.IFNA(VLOOKUP(A441,'619'!D:Q,14,FALSE),0)</f>
        <v>0</v>
      </c>
      <c r="K441" s="59">
        <f>_xlfn.IFNA(VLOOKUP(A441,'619'!D:Q,14,FALSE),0)</f>
        <v>0</v>
      </c>
      <c r="O441" t="s">
        <v>531</v>
      </c>
      <c r="P441" t="str">
        <f>_xlfn.IFNA(VLOOKUP(A441,IndirectCost!B:L,11,FALSE),"")</f>
        <v/>
      </c>
      <c r="Q441">
        <f t="shared" si="6"/>
        <v>0</v>
      </c>
    </row>
    <row r="442" spans="1:17">
      <c r="A442" t="s">
        <v>350</v>
      </c>
      <c r="B442" t="s">
        <v>1068</v>
      </c>
      <c r="C442" t="str">
        <f>VLOOKUP(A442,Districts!A:I,9,FALSE)</f>
        <v>Noah Webster Schools-Mesa</v>
      </c>
      <c r="D442" t="str">
        <f>VLOOKUP(A442,Districts!A:P,16,FALSE)</f>
        <v>HPMPHYRFX5T5</v>
      </c>
      <c r="F442" s="1">
        <v>45200</v>
      </c>
      <c r="G442" t="s">
        <v>529</v>
      </c>
      <c r="H442" t="s">
        <v>530</v>
      </c>
      <c r="I442" s="59">
        <f>_xlfn.IFNA(VLOOKUP(A442,'619'!D:F,3,FALSE),0)</f>
        <v>1804.5</v>
      </c>
      <c r="J442" s="59">
        <f>_xlfn.IFNA(VLOOKUP(A442,'619'!D:Q,14,FALSE),0)</f>
        <v>4257.4799999999996</v>
      </c>
      <c r="K442" s="59">
        <f>_xlfn.IFNA(VLOOKUP(A442,'619'!D:Q,14,FALSE),0)</f>
        <v>4257.4799999999996</v>
      </c>
      <c r="O442" t="s">
        <v>531</v>
      </c>
      <c r="P442" t="str">
        <f>_xlfn.IFNA(VLOOKUP(A442,IndirectCost!B:L,11,FALSE),"")</f>
        <v/>
      </c>
      <c r="Q442">
        <f t="shared" si="6"/>
        <v>0</v>
      </c>
    </row>
    <row r="443" spans="1:17">
      <c r="A443" t="s">
        <v>351</v>
      </c>
      <c r="B443" t="s">
        <v>1069</v>
      </c>
      <c r="C443" t="str">
        <f>VLOOKUP(A443,Districts!A:I,9,FALSE)</f>
        <v>Noah Webster Schools-Pima</v>
      </c>
      <c r="D443" t="str">
        <f>VLOOKUP(A443,Districts!A:P,16,FALSE)</f>
        <v>H1TCZPAD25B3</v>
      </c>
      <c r="F443" s="1">
        <v>45200</v>
      </c>
      <c r="G443" t="s">
        <v>529</v>
      </c>
      <c r="H443" t="s">
        <v>530</v>
      </c>
      <c r="I443" s="59">
        <f>_xlfn.IFNA(VLOOKUP(A443,'619'!D:F,3,FALSE),0)</f>
        <v>646.88</v>
      </c>
      <c r="J443" s="59">
        <f>_xlfn.IFNA(VLOOKUP(A443,'619'!D:Q,14,FALSE),0)</f>
        <v>936.33</v>
      </c>
      <c r="K443" s="59">
        <f>_xlfn.IFNA(VLOOKUP(A443,'619'!D:Q,14,FALSE),0)</f>
        <v>936.33</v>
      </c>
      <c r="O443" t="s">
        <v>531</v>
      </c>
      <c r="P443" t="str">
        <f>_xlfn.IFNA(VLOOKUP(A443,IndirectCost!B:L,11,FALSE),"")</f>
        <v/>
      </c>
      <c r="Q443">
        <f t="shared" si="6"/>
        <v>0</v>
      </c>
    </row>
    <row r="444" spans="1:17">
      <c r="A444" t="s">
        <v>352</v>
      </c>
      <c r="B444" t="s">
        <v>1070</v>
      </c>
      <c r="C444" t="str">
        <f>VLOOKUP(A444,Districts!A:I,9,FALSE)</f>
        <v>Nogales Unified School District 001</v>
      </c>
      <c r="D444" t="str">
        <f>VLOOKUP(A444,Districts!A:P,16,FALSE)</f>
        <v>WDHKL46SJK46</v>
      </c>
      <c r="F444" s="1">
        <v>45200</v>
      </c>
      <c r="G444" t="s">
        <v>529</v>
      </c>
      <c r="H444" t="s">
        <v>530</v>
      </c>
      <c r="I444" s="59">
        <f>_xlfn.IFNA(VLOOKUP(A444,'619'!D:F,3,FALSE),0)</f>
        <v>28601.43</v>
      </c>
      <c r="J444" s="59">
        <f>_xlfn.IFNA(VLOOKUP(A444,'619'!D:Q,14,FALSE),0)</f>
        <v>29870.59</v>
      </c>
      <c r="K444" s="59">
        <f>_xlfn.IFNA(VLOOKUP(A444,'619'!D:Q,14,FALSE),0)</f>
        <v>29870.59</v>
      </c>
      <c r="O444" t="s">
        <v>531</v>
      </c>
      <c r="P444">
        <f>_xlfn.IFNA(VLOOKUP(A444,IndirectCost!B:L,11,FALSE),"")</f>
        <v>6.54</v>
      </c>
      <c r="Q444">
        <f t="shared" si="6"/>
        <v>6.54E-2</v>
      </c>
    </row>
    <row r="445" spans="1:17">
      <c r="A445" t="s">
        <v>1071</v>
      </c>
      <c r="B445" t="s">
        <v>1072</v>
      </c>
      <c r="C445" t="str">
        <f>VLOOKUP(A445,Districts!A:I,9,FALSE)</f>
        <v>North Phoenix Preparatory Academy</v>
      </c>
      <c r="D445" t="str">
        <f>VLOOKUP(A445,Districts!A:P,16,FALSE)</f>
        <v>CZKJMYHESLB6</v>
      </c>
      <c r="F445" s="1">
        <v>45200</v>
      </c>
      <c r="G445" t="s">
        <v>529</v>
      </c>
      <c r="H445" t="s">
        <v>530</v>
      </c>
      <c r="I445" s="59">
        <f>_xlfn.IFNA(VLOOKUP(A445,'619'!D:F,3,FALSE),0)</f>
        <v>0</v>
      </c>
      <c r="J445" s="59">
        <f>_xlfn.IFNA(VLOOKUP(A445,'619'!D:Q,14,FALSE),0)</f>
        <v>0</v>
      </c>
      <c r="K445" s="59">
        <f>_xlfn.IFNA(VLOOKUP(A445,'619'!D:Q,14,FALSE),0)</f>
        <v>0</v>
      </c>
      <c r="O445" t="s">
        <v>531</v>
      </c>
      <c r="P445">
        <f>_xlfn.IFNA(VLOOKUP(A445,IndirectCost!B:L,11,FALSE),"")</f>
        <v>8</v>
      </c>
      <c r="Q445">
        <f t="shared" si="6"/>
        <v>0.08</v>
      </c>
    </row>
    <row r="446" spans="1:17">
      <c r="A446" t="s">
        <v>1073</v>
      </c>
      <c r="B446" t="s">
        <v>1074</v>
      </c>
      <c r="C446" t="str">
        <f>VLOOKUP(A446,Districts!A:I,9,FALSE)</f>
        <v>NORTH STAR CHARTER SCHOOL, INC.</v>
      </c>
      <c r="D446" t="str">
        <f>VLOOKUP(A446,Districts!A:P,16,FALSE)</f>
        <v>P1GGR4LHZLH6</v>
      </c>
      <c r="F446" s="1">
        <v>45200</v>
      </c>
      <c r="G446" t="s">
        <v>529</v>
      </c>
      <c r="H446" t="s">
        <v>530</v>
      </c>
      <c r="I446" s="59">
        <f>_xlfn.IFNA(VLOOKUP(A446,'619'!D:F,3,FALSE),0)</f>
        <v>0</v>
      </c>
      <c r="J446" s="59">
        <f>_xlfn.IFNA(VLOOKUP(A446,'619'!D:Q,14,FALSE),0)</f>
        <v>0</v>
      </c>
      <c r="K446" s="59">
        <f>_xlfn.IFNA(VLOOKUP(A446,'619'!D:Q,14,FALSE),0)</f>
        <v>0</v>
      </c>
      <c r="O446" t="s">
        <v>531</v>
      </c>
      <c r="P446">
        <f>_xlfn.IFNA(VLOOKUP(A446,IndirectCost!B:L,11,FALSE),"")</f>
        <v>8</v>
      </c>
      <c r="Q446">
        <f t="shared" si="6"/>
        <v>0.08</v>
      </c>
    </row>
    <row r="447" spans="1:17">
      <c r="A447" t="s">
        <v>1075</v>
      </c>
      <c r="B447" t="s">
        <v>1076</v>
      </c>
      <c r="C447" t="str">
        <f>VLOOKUP(A447,Districts!A:I,9,FALSE)</f>
        <v>Northland Preparatory Academy</v>
      </c>
      <c r="D447" t="str">
        <f>VLOOKUP(A447,Districts!A:P,16,FALSE)</f>
        <v>NP66LY4NFDF8</v>
      </c>
      <c r="F447" s="1">
        <v>45200</v>
      </c>
      <c r="G447" t="s">
        <v>529</v>
      </c>
      <c r="H447" t="s">
        <v>530</v>
      </c>
      <c r="I447" s="59">
        <f>_xlfn.IFNA(VLOOKUP(A447,'619'!D:F,3,FALSE),0)</f>
        <v>0</v>
      </c>
      <c r="J447" s="59">
        <f>_xlfn.IFNA(VLOOKUP(A447,'619'!D:Q,14,FALSE),0)</f>
        <v>0</v>
      </c>
      <c r="K447" s="59">
        <f>_xlfn.IFNA(VLOOKUP(A447,'619'!D:Q,14,FALSE),0)</f>
        <v>0</v>
      </c>
      <c r="O447" t="s">
        <v>531</v>
      </c>
      <c r="P447" t="str">
        <f>_xlfn.IFNA(VLOOKUP(A447,IndirectCost!B:L,11,FALSE),"")</f>
        <v/>
      </c>
      <c r="Q447">
        <f t="shared" si="6"/>
        <v>0</v>
      </c>
    </row>
    <row r="448" spans="1:17">
      <c r="A448" t="s">
        <v>353</v>
      </c>
      <c r="B448" t="s">
        <v>1077</v>
      </c>
      <c r="C448" t="str">
        <f>VLOOKUP(A448,Districts!A:I,9,FALSE)</f>
        <v>Nosotros, Inc</v>
      </c>
      <c r="D448" t="str">
        <f>VLOOKUP(A448,Districts!A:P,16,FALSE)</f>
        <v>M43KKFAP8KP8</v>
      </c>
      <c r="F448" s="1">
        <v>45200</v>
      </c>
      <c r="G448" t="s">
        <v>529</v>
      </c>
      <c r="H448" t="s">
        <v>530</v>
      </c>
      <c r="I448" s="59">
        <f>_xlfn.IFNA(VLOOKUP(A448,'619'!D:F,3,FALSE),0)</f>
        <v>562.74</v>
      </c>
      <c r="J448" s="59">
        <f>_xlfn.IFNA(VLOOKUP(A448,'619'!D:Q,14,FALSE),0)</f>
        <v>562.74</v>
      </c>
      <c r="K448" s="59">
        <f>_xlfn.IFNA(VLOOKUP(A448,'619'!D:Q,14,FALSE),0)</f>
        <v>562.74</v>
      </c>
      <c r="O448" t="s">
        <v>531</v>
      </c>
      <c r="P448" t="str">
        <f>_xlfn.IFNA(VLOOKUP(A448,IndirectCost!B:L,11,FALSE),"")</f>
        <v/>
      </c>
      <c r="Q448">
        <f t="shared" si="6"/>
        <v>0</v>
      </c>
    </row>
    <row r="449" spans="1:17">
      <c r="A449" t="s">
        <v>354</v>
      </c>
      <c r="B449" t="s">
        <v>1078</v>
      </c>
      <c r="C449" t="str">
        <f>VLOOKUP(A449,Districts!A:I,9,FALSE)</f>
        <v>Omega Alpha Academy</v>
      </c>
      <c r="D449" t="str">
        <f>VLOOKUP(A449,Districts!A:P,16,FALSE)</f>
        <v>L2RJRMB8LBK3</v>
      </c>
      <c r="F449" s="1">
        <v>45200</v>
      </c>
      <c r="G449" t="s">
        <v>529</v>
      </c>
      <c r="H449" t="s">
        <v>530</v>
      </c>
      <c r="I449" s="59">
        <f>_xlfn.IFNA(VLOOKUP(A449,'619'!D:F,3,FALSE),0)</f>
        <v>351.81</v>
      </c>
      <c r="J449" s="59">
        <f>_xlfn.IFNA(VLOOKUP(A449,'619'!D:Q,14,FALSE),0)</f>
        <v>351.81</v>
      </c>
      <c r="K449" s="59">
        <f>_xlfn.IFNA(VLOOKUP(A449,'619'!D:Q,14,FALSE),0)</f>
        <v>351.81</v>
      </c>
      <c r="O449" t="s">
        <v>531</v>
      </c>
      <c r="P449">
        <f>_xlfn.IFNA(VLOOKUP(A449,IndirectCost!B:L,11,FALSE),"")</f>
        <v>8</v>
      </c>
      <c r="Q449">
        <f t="shared" si="6"/>
        <v>0.08</v>
      </c>
    </row>
    <row r="450" spans="1:17">
      <c r="A450" t="s">
        <v>1079</v>
      </c>
      <c r="B450" t="s">
        <v>1080</v>
      </c>
      <c r="C450" t="str">
        <f>VLOOKUP(A450,Districts!A:I,9,FALSE)</f>
        <v>Online School of Arizona</v>
      </c>
      <c r="D450" t="str">
        <f>VLOOKUP(A450,Districts!A:P,16,FALSE)</f>
        <v>ZPBLSU3CVG57</v>
      </c>
      <c r="F450" s="1">
        <v>45200</v>
      </c>
      <c r="G450" t="s">
        <v>529</v>
      </c>
      <c r="H450" t="s">
        <v>530</v>
      </c>
      <c r="I450" s="59">
        <f>_xlfn.IFNA(VLOOKUP(A450,'619'!D:F,3,FALSE),0)</f>
        <v>0</v>
      </c>
      <c r="J450" s="59">
        <f>_xlfn.IFNA(VLOOKUP(A450,'619'!D:Q,14,FALSE),0)</f>
        <v>0</v>
      </c>
      <c r="K450" s="59">
        <f>_xlfn.IFNA(VLOOKUP(A450,'619'!D:Q,14,FALSE),0)</f>
        <v>0</v>
      </c>
      <c r="O450" t="s">
        <v>531</v>
      </c>
      <c r="P450" t="str">
        <f>_xlfn.IFNA(VLOOKUP(A450,IndirectCost!B:L,11,FALSE),"")</f>
        <v/>
      </c>
      <c r="Q450">
        <f t="shared" si="6"/>
        <v>0</v>
      </c>
    </row>
    <row r="451" spans="1:17">
      <c r="A451" t="s">
        <v>355</v>
      </c>
      <c r="B451" t="s">
        <v>1081</v>
      </c>
      <c r="C451" t="str">
        <f>VLOOKUP(A451,Districts!A:I,9,FALSE)</f>
        <v>Oracle School District</v>
      </c>
      <c r="D451" t="str">
        <f>VLOOKUP(A451,Districts!A:P,16,FALSE)</f>
        <v>HH8BXN95P4V4</v>
      </c>
      <c r="F451" s="1">
        <v>45200</v>
      </c>
      <c r="G451" t="s">
        <v>529</v>
      </c>
      <c r="H451" t="s">
        <v>530</v>
      </c>
      <c r="I451" s="59">
        <f>_xlfn.IFNA(VLOOKUP(A451,'619'!D:F,3,FALSE),0)</f>
        <v>8084.23</v>
      </c>
      <c r="J451" s="59">
        <f>_xlfn.IFNA(VLOOKUP(A451,'619'!D:Q,14,FALSE),0)</f>
        <v>8135.15</v>
      </c>
      <c r="K451" s="59">
        <f>_xlfn.IFNA(VLOOKUP(A451,'619'!D:Q,14,FALSE),0)</f>
        <v>8135.15</v>
      </c>
      <c r="O451" t="s">
        <v>531</v>
      </c>
      <c r="P451" t="str">
        <f>_xlfn.IFNA(VLOOKUP(A451,IndirectCost!B:L,11,FALSE),"")</f>
        <v/>
      </c>
      <c r="Q451">
        <f t="shared" si="6"/>
        <v>0</v>
      </c>
    </row>
    <row r="452" spans="1:17">
      <c r="A452" t="s">
        <v>356</v>
      </c>
      <c r="B452" t="s">
        <v>1082</v>
      </c>
      <c r="C452" t="str">
        <f>VLOOKUP(A452,Districts!A:I,9,FALSE)</f>
        <v>County of Maricopa Osborn School District #8 DBA Osboen Middle School</v>
      </c>
      <c r="D452" t="str">
        <f>VLOOKUP(A452,Districts!A:P,16,FALSE)</f>
        <v>EGL2NK34UR78</v>
      </c>
      <c r="F452" s="1">
        <v>45200</v>
      </c>
      <c r="G452" t="s">
        <v>529</v>
      </c>
      <c r="H452" t="s">
        <v>530</v>
      </c>
      <c r="I452" s="59">
        <f>_xlfn.IFNA(VLOOKUP(A452,'619'!D:F,3,FALSE),0)</f>
        <v>22328.62</v>
      </c>
      <c r="J452" s="59">
        <f>_xlfn.IFNA(VLOOKUP(A452,'619'!D:Q,14,FALSE),0)</f>
        <v>35060.29</v>
      </c>
      <c r="K452" s="59">
        <f>_xlfn.IFNA(VLOOKUP(A452,'619'!D:Q,14,FALSE),0)</f>
        <v>35060.29</v>
      </c>
      <c r="O452" t="s">
        <v>531</v>
      </c>
      <c r="P452">
        <f>_xlfn.IFNA(VLOOKUP(A452,IndirectCost!B:L,11,FALSE),"")</f>
        <v>8</v>
      </c>
      <c r="Q452">
        <f t="shared" ref="Q452:Q515" si="7">IFERROR(P452/100,0)</f>
        <v>0.08</v>
      </c>
    </row>
    <row r="453" spans="1:17">
      <c r="A453" t="s">
        <v>357</v>
      </c>
      <c r="B453" t="s">
        <v>1083</v>
      </c>
      <c r="C453" t="str">
        <f>VLOOKUP(A453,Districts!A:I,9,FALSE)</f>
        <v>OWENS-WHITNEY SCHOOL DISTRICT 6 BOARD OF TRUSTEES</v>
      </c>
      <c r="D453" t="str">
        <f>VLOOKUP(A453,Districts!A:P,16,FALSE)</f>
        <v>KAXCELTPCE11</v>
      </c>
      <c r="F453" s="1">
        <v>45200</v>
      </c>
      <c r="G453" t="s">
        <v>529</v>
      </c>
      <c r="H453" t="s">
        <v>530</v>
      </c>
      <c r="I453" s="59">
        <f>_xlfn.IFNA(VLOOKUP(A453,'619'!D:F,3,FALSE),0)</f>
        <v>487.77</v>
      </c>
      <c r="J453" s="59">
        <f>_xlfn.IFNA(VLOOKUP(A453,'619'!D:Q,14,FALSE),0)</f>
        <v>0</v>
      </c>
      <c r="K453" s="59">
        <f>_xlfn.IFNA(VLOOKUP(A453,'619'!D:Q,14,FALSE),0)</f>
        <v>0</v>
      </c>
      <c r="O453" t="s">
        <v>531</v>
      </c>
      <c r="P453" t="str">
        <f>_xlfn.IFNA(VLOOKUP(A453,IndirectCost!B:L,11,FALSE),"")</f>
        <v/>
      </c>
      <c r="Q453">
        <f t="shared" si="7"/>
        <v>0</v>
      </c>
    </row>
    <row r="454" spans="1:17">
      <c r="A454" t="s">
        <v>358</v>
      </c>
      <c r="B454" t="s">
        <v>1084</v>
      </c>
      <c r="C454" t="str">
        <f>VLOOKUP(A454,Districts!A:I,9,FALSE)</f>
        <v>P.L.C. Charter Schools</v>
      </c>
      <c r="D454" t="str">
        <f>VLOOKUP(A454,Districts!A:P,16,FALSE)</f>
        <v>CK6BAYAKB9V7</v>
      </c>
      <c r="F454" s="1">
        <v>45200</v>
      </c>
      <c r="G454" t="s">
        <v>529</v>
      </c>
      <c r="H454" t="s">
        <v>530</v>
      </c>
      <c r="I454" s="59">
        <f>_xlfn.IFNA(VLOOKUP(A454,'619'!D:F,3,FALSE),0)</f>
        <v>490.69</v>
      </c>
      <c r="J454" s="59">
        <f>_xlfn.IFNA(VLOOKUP(A454,'619'!D:Q,14,FALSE),0)</f>
        <v>0</v>
      </c>
      <c r="K454" s="59">
        <f>_xlfn.IFNA(VLOOKUP(A454,'619'!D:Q,14,FALSE),0)</f>
        <v>0</v>
      </c>
      <c r="O454" t="s">
        <v>531</v>
      </c>
      <c r="P454" t="str">
        <f>_xlfn.IFNA(VLOOKUP(A454,IndirectCost!B:L,11,FALSE),"")</f>
        <v/>
      </c>
      <c r="Q454">
        <f t="shared" si="7"/>
        <v>0</v>
      </c>
    </row>
    <row r="455" spans="1:17">
      <c r="A455" t="s">
        <v>1085</v>
      </c>
      <c r="B455" t="s">
        <v>1086</v>
      </c>
      <c r="C455" t="str">
        <f>VLOOKUP(A455,Districts!A:I,9,FALSE)</f>
        <v>Pace Preparatory Academy</v>
      </c>
      <c r="D455" t="str">
        <f>VLOOKUP(A455,Districts!A:P,16,FALSE)</f>
        <v>UBZFQEJ8T8M4</v>
      </c>
      <c r="F455" s="1">
        <v>45200</v>
      </c>
      <c r="G455" t="s">
        <v>529</v>
      </c>
      <c r="H455" t="s">
        <v>530</v>
      </c>
      <c r="I455" s="59">
        <f>_xlfn.IFNA(VLOOKUP(A455,'619'!D:F,3,FALSE),0)</f>
        <v>0</v>
      </c>
      <c r="J455" s="59">
        <f>_xlfn.IFNA(VLOOKUP(A455,'619'!D:Q,14,FALSE),0)</f>
        <v>0</v>
      </c>
      <c r="K455" s="59">
        <f>_xlfn.IFNA(VLOOKUP(A455,'619'!D:Q,14,FALSE),0)</f>
        <v>0</v>
      </c>
      <c r="O455" t="s">
        <v>531</v>
      </c>
      <c r="P455" t="str">
        <f>_xlfn.IFNA(VLOOKUP(A455,IndirectCost!B:L,11,FALSE),"")</f>
        <v/>
      </c>
      <c r="Q455">
        <f t="shared" si="7"/>
        <v>0</v>
      </c>
    </row>
    <row r="456" spans="1:17">
      <c r="A456" t="s">
        <v>359</v>
      </c>
      <c r="B456" t="s">
        <v>1087</v>
      </c>
      <c r="C456" t="str">
        <f>VLOOKUP(A456,Districts!A:I,9,FALSE)</f>
        <v>Page Unified School District #8</v>
      </c>
      <c r="D456" t="str">
        <f>VLOOKUP(A456,Districts!A:P,16,FALSE)</f>
        <v>RH8XDJN8Z7M6</v>
      </c>
      <c r="F456" s="1">
        <v>45200</v>
      </c>
      <c r="G456" t="s">
        <v>529</v>
      </c>
      <c r="H456" t="s">
        <v>530</v>
      </c>
      <c r="I456" s="59">
        <f>_xlfn.IFNA(VLOOKUP(A456,'619'!D:F,3,FALSE),0)</f>
        <v>16141.81</v>
      </c>
      <c r="J456" s="59">
        <f>_xlfn.IFNA(VLOOKUP(A456,'619'!D:Q,14,FALSE),0)</f>
        <v>17381.919999999998</v>
      </c>
      <c r="K456" s="59">
        <f>_xlfn.IFNA(VLOOKUP(A456,'619'!D:Q,14,FALSE),0)</f>
        <v>17381.919999999998</v>
      </c>
      <c r="O456" t="s">
        <v>531</v>
      </c>
      <c r="P456">
        <f>_xlfn.IFNA(VLOOKUP(A456,IndirectCost!B:L,11,FALSE),"")</f>
        <v>4.95</v>
      </c>
      <c r="Q456">
        <f t="shared" si="7"/>
        <v>4.9500000000000002E-2</v>
      </c>
    </row>
    <row r="457" spans="1:17">
      <c r="A457" t="s">
        <v>360</v>
      </c>
      <c r="B457" t="s">
        <v>1088</v>
      </c>
      <c r="C457" t="str">
        <f>VLOOKUP(A457,Districts!A:I,9,FALSE)</f>
        <v>Painted Desert Demonstration Projects, Inc.</v>
      </c>
      <c r="D457" t="str">
        <f>VLOOKUP(A457,Districts!A:P,16,FALSE)</f>
        <v>MU15YNJ2WNE5</v>
      </c>
      <c r="F457" s="1">
        <v>45200</v>
      </c>
      <c r="G457" t="s">
        <v>529</v>
      </c>
      <c r="H457" t="s">
        <v>530</v>
      </c>
      <c r="I457" s="59">
        <f>_xlfn.IFNA(VLOOKUP(A457,'619'!D:F,3,FALSE),0)</f>
        <v>1114.26</v>
      </c>
      <c r="J457" s="59">
        <f>_xlfn.IFNA(VLOOKUP(A457,'619'!D:Q,14,FALSE),0)</f>
        <v>1114.26</v>
      </c>
      <c r="K457" s="59">
        <f>_xlfn.IFNA(VLOOKUP(A457,'619'!D:Q,14,FALSE),0)</f>
        <v>1114.26</v>
      </c>
      <c r="O457" t="s">
        <v>531</v>
      </c>
      <c r="P457">
        <f>_xlfn.IFNA(VLOOKUP(A457,IndirectCost!B:L,11,FALSE),"")</f>
        <v>0</v>
      </c>
      <c r="Q457">
        <f t="shared" si="7"/>
        <v>0</v>
      </c>
    </row>
    <row r="458" spans="1:17">
      <c r="A458" t="s">
        <v>361</v>
      </c>
      <c r="B458" t="s">
        <v>1089</v>
      </c>
      <c r="C458" t="str">
        <f>VLOOKUP(A458,Districts!A:I,9,FALSE)</f>
        <v>Painted Pony Ranch Charter School</v>
      </c>
      <c r="D458" t="str">
        <f>VLOOKUP(A458,Districts!A:P,16,FALSE)</f>
        <v>DANEBVAQV9B8</v>
      </c>
      <c r="F458" s="1">
        <v>45200</v>
      </c>
      <c r="G458" t="s">
        <v>529</v>
      </c>
      <c r="H458" t="s">
        <v>530</v>
      </c>
      <c r="I458" s="59">
        <f>_xlfn.IFNA(VLOOKUP(A458,'619'!D:F,3,FALSE),0)</f>
        <v>671.51</v>
      </c>
      <c r="J458" s="59">
        <f>_xlfn.IFNA(VLOOKUP(A458,'619'!D:Q,14,FALSE),0)</f>
        <v>0</v>
      </c>
      <c r="K458" s="59">
        <f>_xlfn.IFNA(VLOOKUP(A458,'619'!D:Q,14,FALSE),0)</f>
        <v>0</v>
      </c>
      <c r="O458" t="s">
        <v>531</v>
      </c>
      <c r="P458" t="str">
        <f>_xlfn.IFNA(VLOOKUP(A458,IndirectCost!B:L,11,FALSE),"")</f>
        <v/>
      </c>
      <c r="Q458">
        <f t="shared" si="7"/>
        <v>0</v>
      </c>
    </row>
    <row r="459" spans="1:17">
      <c r="A459" t="s">
        <v>362</v>
      </c>
      <c r="B459" t="s">
        <v>1090</v>
      </c>
      <c r="C459" t="str">
        <f>VLOOKUP(A459,Districts!A:I,9,FALSE)</f>
        <v>Palo Verde Elementary School</v>
      </c>
      <c r="D459" t="str">
        <f>VLOOKUP(A459,Districts!A:P,16,FALSE)</f>
        <v>NEKQDYH9JHN3</v>
      </c>
      <c r="F459" s="1">
        <v>45200</v>
      </c>
      <c r="G459" t="s">
        <v>529</v>
      </c>
      <c r="H459" t="s">
        <v>530</v>
      </c>
      <c r="I459" s="59">
        <f>_xlfn.IFNA(VLOOKUP(A459,'619'!D:F,3,FALSE),0)</f>
        <v>720.85</v>
      </c>
      <c r="J459" s="59">
        <f>_xlfn.IFNA(VLOOKUP(A459,'619'!D:Q,14,FALSE),0)</f>
        <v>720.85</v>
      </c>
      <c r="K459" s="59">
        <f>_xlfn.IFNA(VLOOKUP(A459,'619'!D:Q,14,FALSE),0)</f>
        <v>720.85</v>
      </c>
      <c r="O459" t="s">
        <v>531</v>
      </c>
      <c r="P459">
        <f>_xlfn.IFNA(VLOOKUP(A459,IndirectCost!B:L,11,FALSE),"")</f>
        <v>7</v>
      </c>
      <c r="Q459">
        <f t="shared" si="7"/>
        <v>7.0000000000000007E-2</v>
      </c>
    </row>
    <row r="460" spans="1:17">
      <c r="A460" t="s">
        <v>363</v>
      </c>
      <c r="B460" t="s">
        <v>1091</v>
      </c>
      <c r="C460" t="str">
        <f>VLOOKUP(A460,Districts!A:I,9,FALSE)</f>
        <v>Paloma Elementary School District 94</v>
      </c>
      <c r="D460" t="str">
        <f>VLOOKUP(A460,Districts!A:P,16,FALSE)</f>
        <v>M5X3QCZV4V61</v>
      </c>
      <c r="F460" s="1">
        <v>45200</v>
      </c>
      <c r="G460" t="s">
        <v>529</v>
      </c>
      <c r="H460" t="s">
        <v>530</v>
      </c>
      <c r="I460" s="59">
        <f>_xlfn.IFNA(VLOOKUP(A460,'619'!D:F,3,FALSE),0)</f>
        <v>215.2</v>
      </c>
      <c r="J460" s="59">
        <f>_xlfn.IFNA(VLOOKUP(A460,'619'!D:Q,14,FALSE),0)</f>
        <v>215.2</v>
      </c>
      <c r="K460" s="59">
        <f>_xlfn.IFNA(VLOOKUP(A460,'619'!D:Q,14,FALSE),0)</f>
        <v>215.2</v>
      </c>
      <c r="O460" t="s">
        <v>531</v>
      </c>
      <c r="P460">
        <f>_xlfn.IFNA(VLOOKUP(A460,IndirectCost!B:L,11,FALSE),"")</f>
        <v>8</v>
      </c>
      <c r="Q460">
        <f t="shared" si="7"/>
        <v>0.08</v>
      </c>
    </row>
    <row r="461" spans="1:17">
      <c r="A461" t="s">
        <v>364</v>
      </c>
      <c r="B461" t="s">
        <v>1092</v>
      </c>
      <c r="C461" t="str">
        <f>VLOOKUP(A461,Districts!A:I,9,FALSE)</f>
        <v>Palominas Elementary School District 49</v>
      </c>
      <c r="D461" t="str">
        <f>VLOOKUP(A461,Districts!A:P,16,FALSE)</f>
        <v>QCS5GN9NC2B7</v>
      </c>
      <c r="F461" s="1">
        <v>45200</v>
      </c>
      <c r="G461" t="s">
        <v>529</v>
      </c>
      <c r="H461" t="s">
        <v>530</v>
      </c>
      <c r="I461" s="59">
        <f>_xlfn.IFNA(VLOOKUP(A461,'619'!D:F,3,FALSE),0)</f>
        <v>6032.43</v>
      </c>
      <c r="J461" s="59">
        <f>_xlfn.IFNA(VLOOKUP(A461,'619'!D:Q,14,FALSE),0)</f>
        <v>11891.19</v>
      </c>
      <c r="K461" s="59">
        <f>_xlfn.IFNA(VLOOKUP(A461,'619'!D:Q,14,FALSE),0)</f>
        <v>11891.19</v>
      </c>
      <c r="O461" t="s">
        <v>531</v>
      </c>
      <c r="P461">
        <f>_xlfn.IFNA(VLOOKUP(A461,IndirectCost!B:L,11,FALSE),"")</f>
        <v>5.45</v>
      </c>
      <c r="Q461">
        <f t="shared" si="7"/>
        <v>5.45E-2</v>
      </c>
    </row>
    <row r="462" spans="1:17">
      <c r="A462" t="s">
        <v>365</v>
      </c>
      <c r="B462" t="s">
        <v>1093</v>
      </c>
      <c r="C462" t="str">
        <f>VLOOKUP(A462,Districts!A:I,9,FALSE)</f>
        <v>PAN-AMERICAN ELEMENTARY CHARTER SCHOOL</v>
      </c>
      <c r="D462" t="str">
        <f>VLOOKUP(A462,Districts!A:P,16,FALSE)</f>
        <v>TDW9U3NH3V57</v>
      </c>
      <c r="F462" s="1">
        <v>45200</v>
      </c>
      <c r="G462" t="s">
        <v>529</v>
      </c>
      <c r="H462" t="s">
        <v>530</v>
      </c>
      <c r="I462" s="59">
        <f>_xlfn.IFNA(VLOOKUP(A462,'619'!D:F,3,FALSE),0)</f>
        <v>1421.38</v>
      </c>
      <c r="J462" s="59">
        <f>_xlfn.IFNA(VLOOKUP(A462,'619'!D:Q,14,FALSE),0)</f>
        <v>1421.38</v>
      </c>
      <c r="K462" s="59">
        <f>_xlfn.IFNA(VLOOKUP(A462,'619'!D:Q,14,FALSE),0)</f>
        <v>1421.38</v>
      </c>
      <c r="O462" t="s">
        <v>531</v>
      </c>
      <c r="P462" t="str">
        <f>_xlfn.IFNA(VLOOKUP(A462,IndirectCost!B:L,11,FALSE),"")</f>
        <v/>
      </c>
      <c r="Q462">
        <f t="shared" si="7"/>
        <v>0</v>
      </c>
    </row>
    <row r="463" spans="1:17">
      <c r="A463" t="s">
        <v>366</v>
      </c>
      <c r="B463" t="s">
        <v>1094</v>
      </c>
      <c r="C463" t="str">
        <f>VLOOKUP(A463,Districts!A:I,9,FALSE)</f>
        <v>Paradise Valley Unified School District 69</v>
      </c>
      <c r="D463" t="str">
        <f>VLOOKUP(A463,Districts!A:P,16,FALSE)</f>
        <v>LR62YBRKL6N3</v>
      </c>
      <c r="F463" s="1">
        <v>45200</v>
      </c>
      <c r="G463" t="s">
        <v>529</v>
      </c>
      <c r="H463" t="s">
        <v>530</v>
      </c>
      <c r="I463" s="59">
        <f>_xlfn.IFNA(VLOOKUP(A463,'619'!D:F,3,FALSE),0)</f>
        <v>125709.48</v>
      </c>
      <c r="J463" s="59">
        <f>_xlfn.IFNA(VLOOKUP(A463,'619'!D:Q,14,FALSE),0)</f>
        <v>159788.88</v>
      </c>
      <c r="K463" s="59">
        <f>_xlfn.IFNA(VLOOKUP(A463,'619'!D:Q,14,FALSE),0)</f>
        <v>159788.88</v>
      </c>
      <c r="O463" t="s">
        <v>531</v>
      </c>
      <c r="P463">
        <f>_xlfn.IFNA(VLOOKUP(A463,IndirectCost!B:L,11,FALSE),"")</f>
        <v>8</v>
      </c>
      <c r="Q463">
        <f t="shared" si="7"/>
        <v>0.08</v>
      </c>
    </row>
    <row r="464" spans="1:17">
      <c r="A464" t="s">
        <v>367</v>
      </c>
      <c r="B464" t="s">
        <v>1095</v>
      </c>
      <c r="C464" t="str">
        <f>VLOOKUP(A464,Districts!A:I,9,FALSE)</f>
        <v>Paragon Management Center</v>
      </c>
      <c r="D464" t="str">
        <f>VLOOKUP(A464,Districts!A:P,16,FALSE)</f>
        <v>F7DFZ73J3288</v>
      </c>
      <c r="F464" s="1">
        <v>45200</v>
      </c>
      <c r="G464" t="s">
        <v>529</v>
      </c>
      <c r="H464" t="s">
        <v>530</v>
      </c>
      <c r="I464" s="59">
        <f>_xlfn.IFNA(VLOOKUP(A464,'619'!D:F,3,FALSE),0)</f>
        <v>3247.31</v>
      </c>
      <c r="J464" s="59">
        <f>_xlfn.IFNA(VLOOKUP(A464,'619'!D:Q,14,FALSE),0)</f>
        <v>3903</v>
      </c>
      <c r="K464" s="59">
        <f>_xlfn.IFNA(VLOOKUP(A464,'619'!D:Q,14,FALSE),0)</f>
        <v>3903</v>
      </c>
      <c r="O464" t="s">
        <v>531</v>
      </c>
      <c r="P464" t="str">
        <f>_xlfn.IFNA(VLOOKUP(A464,IndirectCost!B:L,11,FALSE),"")</f>
        <v/>
      </c>
      <c r="Q464">
        <f t="shared" si="7"/>
        <v>0</v>
      </c>
    </row>
    <row r="465" spans="1:17">
      <c r="A465" t="s">
        <v>368</v>
      </c>
      <c r="B465" t="s">
        <v>1096</v>
      </c>
      <c r="C465" t="str">
        <f>VLOOKUP(A465,Districts!A:I,9,FALSE)</f>
        <v>Parker Unified School District 27</v>
      </c>
      <c r="D465" t="str">
        <f>VLOOKUP(A465,Districts!A:P,16,FALSE)</f>
        <v>JEJHL5KYCMT5</v>
      </c>
      <c r="F465" s="1">
        <v>45200</v>
      </c>
      <c r="G465" t="s">
        <v>529</v>
      </c>
      <c r="H465" t="s">
        <v>530</v>
      </c>
      <c r="I465" s="59">
        <f>_xlfn.IFNA(VLOOKUP(A465,'619'!D:F,3,FALSE),0)</f>
        <v>20736.689999999999</v>
      </c>
      <c r="J465" s="59">
        <f>_xlfn.IFNA(VLOOKUP(A465,'619'!D:Q,14,FALSE),0)</f>
        <v>20736.689999999999</v>
      </c>
      <c r="K465" s="59">
        <f>_xlfn.IFNA(VLOOKUP(A465,'619'!D:Q,14,FALSE),0)</f>
        <v>20736.689999999999</v>
      </c>
      <c r="O465" t="s">
        <v>531</v>
      </c>
      <c r="P465">
        <f>_xlfn.IFNA(VLOOKUP(A465,IndirectCost!B:L,11,FALSE),"")</f>
        <v>8</v>
      </c>
      <c r="Q465">
        <f t="shared" si="7"/>
        <v>0.08</v>
      </c>
    </row>
    <row r="466" spans="1:17">
      <c r="A466" t="s">
        <v>1097</v>
      </c>
      <c r="B466" t="s">
        <v>1098</v>
      </c>
      <c r="C466" t="str">
        <f>VLOOKUP(A466,Districts!A:I,9,FALSE)</f>
        <v>PAS Charter Inc.</v>
      </c>
      <c r="D466" t="str">
        <f>VLOOKUP(A466,Districts!A:P,16,FALSE)</f>
        <v>J7WFBRT1PEA6</v>
      </c>
      <c r="F466" s="1">
        <v>45200</v>
      </c>
      <c r="G466" t="s">
        <v>529</v>
      </c>
      <c r="H466" t="s">
        <v>530</v>
      </c>
      <c r="I466" s="59">
        <f>_xlfn.IFNA(VLOOKUP(A466,'619'!D:F,3,FALSE),0)</f>
        <v>0</v>
      </c>
      <c r="J466" s="59">
        <f>_xlfn.IFNA(VLOOKUP(A466,'619'!D:Q,14,FALSE),0)</f>
        <v>0</v>
      </c>
      <c r="K466" s="59">
        <f>_xlfn.IFNA(VLOOKUP(A466,'619'!D:Q,14,FALSE),0)</f>
        <v>0</v>
      </c>
      <c r="O466" t="s">
        <v>531</v>
      </c>
      <c r="P466" t="str">
        <f>_xlfn.IFNA(VLOOKUP(A466,IndirectCost!B:L,11,FALSE),"")</f>
        <v/>
      </c>
      <c r="Q466">
        <f t="shared" si="7"/>
        <v>0</v>
      </c>
    </row>
    <row r="467" spans="1:17">
      <c r="A467" t="s">
        <v>369</v>
      </c>
      <c r="B467" t="s">
        <v>1099</v>
      </c>
      <c r="C467" t="str">
        <f>VLOOKUP(A467,Districts!A:I,9,FALSE)</f>
        <v>Patagonia Elementary School</v>
      </c>
      <c r="D467" t="str">
        <f>VLOOKUP(A467,Districts!A:P,16,FALSE)</f>
        <v>RJJNUVCG99J5</v>
      </c>
      <c r="F467" s="1">
        <v>45200</v>
      </c>
      <c r="G467" t="s">
        <v>529</v>
      </c>
      <c r="H467" t="s">
        <v>530</v>
      </c>
      <c r="I467" s="59">
        <f>_xlfn.IFNA(VLOOKUP(A467,'619'!D:F,3,FALSE),0)</f>
        <v>424.98</v>
      </c>
      <c r="J467" s="59">
        <f>_xlfn.IFNA(VLOOKUP(A467,'619'!D:Q,14,FALSE),0)</f>
        <v>439.2</v>
      </c>
      <c r="K467" s="59">
        <f>_xlfn.IFNA(VLOOKUP(A467,'619'!D:Q,14,FALSE),0)</f>
        <v>439.2</v>
      </c>
      <c r="O467" t="s">
        <v>531</v>
      </c>
      <c r="P467">
        <f>_xlfn.IFNA(VLOOKUP(A467,IndirectCost!B:L,11,FALSE),"")</f>
        <v>8</v>
      </c>
      <c r="Q467">
        <f t="shared" si="7"/>
        <v>0.08</v>
      </c>
    </row>
    <row r="468" spans="1:17">
      <c r="A468" t="s">
        <v>370</v>
      </c>
      <c r="B468" t="s">
        <v>1100</v>
      </c>
      <c r="C468" t="str">
        <f>VLOOKUP(A468,Districts!A:I,9,FALSE)</f>
        <v>Patagonia Montessori Elementary School, Inc.</v>
      </c>
      <c r="D468" t="str">
        <f>VLOOKUP(A468,Districts!A:P,16,FALSE)</f>
        <v>XWYNH7R9MU23</v>
      </c>
      <c r="F468" s="1">
        <v>45200</v>
      </c>
      <c r="G468" t="s">
        <v>529</v>
      </c>
      <c r="H468" t="s">
        <v>530</v>
      </c>
      <c r="I468" s="59">
        <f>_xlfn.IFNA(VLOOKUP(A468,'619'!D:F,3,FALSE),0)</f>
        <v>353.46</v>
      </c>
      <c r="J468" s="59">
        <f>_xlfn.IFNA(VLOOKUP(A468,'619'!D:Q,14,FALSE),0)</f>
        <v>0</v>
      </c>
      <c r="K468" s="59">
        <f>_xlfn.IFNA(VLOOKUP(A468,'619'!D:Q,14,FALSE),0)</f>
        <v>0</v>
      </c>
      <c r="O468" t="s">
        <v>531</v>
      </c>
      <c r="P468" t="str">
        <f>_xlfn.IFNA(VLOOKUP(A468,IndirectCost!B:L,11,FALSE),"")</f>
        <v/>
      </c>
      <c r="Q468">
        <f t="shared" si="7"/>
        <v>0</v>
      </c>
    </row>
    <row r="469" spans="1:17">
      <c r="A469" t="s">
        <v>1101</v>
      </c>
      <c r="B469" t="s">
        <v>1102</v>
      </c>
      <c r="C469" t="str">
        <f>VLOOKUP(A469,Districts!A:I,9,FALSE)</f>
        <v>Patagonia Union High School District</v>
      </c>
      <c r="D469" t="str">
        <f>VLOOKUP(A469,Districts!A:P,16,FALSE)</f>
        <v>XMLKUTQN1T76</v>
      </c>
      <c r="F469" s="1">
        <v>45200</v>
      </c>
      <c r="G469" t="s">
        <v>529</v>
      </c>
      <c r="H469" t="s">
        <v>530</v>
      </c>
      <c r="I469" s="59">
        <f>_xlfn.IFNA(VLOOKUP(A469,'619'!D:F,3,FALSE),0)</f>
        <v>0</v>
      </c>
      <c r="J469" s="59">
        <f>_xlfn.IFNA(VLOOKUP(A469,'619'!D:Q,14,FALSE),0)</f>
        <v>0</v>
      </c>
      <c r="K469" s="59">
        <f>_xlfn.IFNA(VLOOKUP(A469,'619'!D:Q,14,FALSE),0)</f>
        <v>0</v>
      </c>
      <c r="O469" t="s">
        <v>531</v>
      </c>
      <c r="P469">
        <f>_xlfn.IFNA(VLOOKUP(A469,IndirectCost!B:L,11,FALSE),"")</f>
        <v>8</v>
      </c>
      <c r="Q469">
        <f t="shared" si="7"/>
        <v>0.08</v>
      </c>
    </row>
    <row r="470" spans="1:17">
      <c r="A470" t="s">
        <v>371</v>
      </c>
      <c r="B470" t="s">
        <v>1103</v>
      </c>
      <c r="C470" t="str">
        <f>VLOOKUP(A470,Districts!A:I,9,FALSE)</f>
        <v>Pathfinder Charter School Foundation</v>
      </c>
      <c r="D470" t="str">
        <f>VLOOKUP(A470,Districts!A:P,16,FALSE)</f>
        <v>NKH6LLALGJG5</v>
      </c>
      <c r="F470" s="1">
        <v>45200</v>
      </c>
      <c r="G470" t="s">
        <v>529</v>
      </c>
      <c r="H470" t="s">
        <v>530</v>
      </c>
      <c r="I470" s="59">
        <f>_xlfn.IFNA(VLOOKUP(A470,'619'!D:F,3,FALSE),0)</f>
        <v>2127.0500000000002</v>
      </c>
      <c r="J470" s="59">
        <f>_xlfn.IFNA(VLOOKUP(A470,'619'!D:Q,14,FALSE),0)</f>
        <v>2127.0500000000002</v>
      </c>
      <c r="K470" s="59">
        <f>_xlfn.IFNA(VLOOKUP(A470,'619'!D:Q,14,FALSE),0)</f>
        <v>2127.0500000000002</v>
      </c>
      <c r="O470" t="s">
        <v>531</v>
      </c>
      <c r="P470" t="str">
        <f>_xlfn.IFNA(VLOOKUP(A470,IndirectCost!B:L,11,FALSE),"")</f>
        <v/>
      </c>
      <c r="Q470">
        <f t="shared" si="7"/>
        <v>0</v>
      </c>
    </row>
    <row r="471" spans="1:17">
      <c r="A471" t="s">
        <v>1104</v>
      </c>
      <c r="B471" t="s">
        <v>1105</v>
      </c>
      <c r="C471" t="str">
        <f>VLOOKUP(A471,Districts!A:I,9,FALSE)</f>
        <v>PATHWAYS IN EDUCATION - ARIZONA, INC</v>
      </c>
      <c r="D471" t="str">
        <f>VLOOKUP(A471,Districts!A:P,16,FALSE)</f>
        <v>LZL4QGEVEJV7</v>
      </c>
      <c r="F471" s="1">
        <v>45200</v>
      </c>
      <c r="G471" t="s">
        <v>529</v>
      </c>
      <c r="H471" t="s">
        <v>530</v>
      </c>
      <c r="I471" s="59">
        <f>_xlfn.IFNA(VLOOKUP(A471,'619'!D:F,3,FALSE),0)</f>
        <v>0</v>
      </c>
      <c r="J471" s="59">
        <f>_xlfn.IFNA(VLOOKUP(A471,'619'!D:Q,14,FALSE),0)</f>
        <v>0</v>
      </c>
      <c r="K471" s="59">
        <f>_xlfn.IFNA(VLOOKUP(A471,'619'!D:Q,14,FALSE),0)</f>
        <v>0</v>
      </c>
      <c r="O471" t="s">
        <v>531</v>
      </c>
      <c r="P471" t="str">
        <f>_xlfn.IFNA(VLOOKUP(A471,IndirectCost!B:L,11,FALSE),"")</f>
        <v/>
      </c>
      <c r="Q471">
        <f t="shared" si="7"/>
        <v>0</v>
      </c>
    </row>
    <row r="472" spans="1:17">
      <c r="A472" t="s">
        <v>1106</v>
      </c>
      <c r="B472" t="s">
        <v>1107</v>
      </c>
      <c r="C472" t="str">
        <f>VLOOKUP(A472,Districts!A:I,9,FALSE)</f>
        <v>Paul Revere Academy, Inc.</v>
      </c>
      <c r="D472">
        <f>VLOOKUP(A472,Districts!A:P,16,FALSE)</f>
        <v>0</v>
      </c>
      <c r="F472" s="1">
        <v>45200</v>
      </c>
      <c r="G472" t="s">
        <v>529</v>
      </c>
      <c r="H472" t="s">
        <v>530</v>
      </c>
      <c r="I472" s="59">
        <f>_xlfn.IFNA(VLOOKUP(A472,'619'!D:F,3,FALSE),0)</f>
        <v>0</v>
      </c>
      <c r="J472" s="59">
        <f>_xlfn.IFNA(VLOOKUP(A472,'619'!D:Q,14,FALSE),0)</f>
        <v>0</v>
      </c>
      <c r="K472" s="59">
        <f>_xlfn.IFNA(VLOOKUP(A472,'619'!D:Q,14,FALSE),0)</f>
        <v>0</v>
      </c>
      <c r="O472" t="s">
        <v>531</v>
      </c>
      <c r="P472" t="str">
        <f>_xlfn.IFNA(VLOOKUP(A472,IndirectCost!B:L,11,FALSE),"")</f>
        <v/>
      </c>
      <c r="Q472">
        <f t="shared" si="7"/>
        <v>0</v>
      </c>
    </row>
    <row r="473" spans="1:17">
      <c r="A473" t="s">
        <v>372</v>
      </c>
      <c r="B473" t="s">
        <v>1108</v>
      </c>
      <c r="C473" t="str">
        <f>VLOOKUP(A473,Districts!A:I,9,FALSE)</f>
        <v>Payson Unified School District</v>
      </c>
      <c r="D473" t="str">
        <f>VLOOKUP(A473,Districts!A:P,16,FALSE)</f>
        <v>MLH5F4N8DMX1</v>
      </c>
      <c r="F473" s="1">
        <v>45200</v>
      </c>
      <c r="G473" t="s">
        <v>529</v>
      </c>
      <c r="H473" t="s">
        <v>530</v>
      </c>
      <c r="I473" s="59">
        <f>_xlfn.IFNA(VLOOKUP(A473,'619'!D:F,3,FALSE),0)</f>
        <v>14479.53</v>
      </c>
      <c r="J473" s="59">
        <f>_xlfn.IFNA(VLOOKUP(A473,'619'!D:Q,14,FALSE),0)</f>
        <v>28926.51</v>
      </c>
      <c r="K473" s="59">
        <f>_xlfn.IFNA(VLOOKUP(A473,'619'!D:Q,14,FALSE),0)</f>
        <v>28926.51</v>
      </c>
      <c r="O473" t="s">
        <v>531</v>
      </c>
      <c r="P473">
        <f>_xlfn.IFNA(VLOOKUP(A473,IndirectCost!B:L,11,FALSE),"")</f>
        <v>5.74</v>
      </c>
      <c r="Q473">
        <f t="shared" si="7"/>
        <v>5.74E-2</v>
      </c>
    </row>
    <row r="474" spans="1:17">
      <c r="A474" t="s">
        <v>373</v>
      </c>
      <c r="B474" t="s">
        <v>1109</v>
      </c>
      <c r="C474" t="str">
        <f>VLOOKUP(A474,Districts!A:I,9,FALSE)</f>
        <v>Peach Springs Unified School District</v>
      </c>
      <c r="D474" t="str">
        <f>VLOOKUP(A474,Districts!A:P,16,FALSE)</f>
        <v>K3DNKVDKZKR7</v>
      </c>
      <c r="F474" s="1">
        <v>45200</v>
      </c>
      <c r="G474" t="s">
        <v>529</v>
      </c>
      <c r="H474" t="s">
        <v>530</v>
      </c>
      <c r="I474" s="59">
        <f>_xlfn.IFNA(VLOOKUP(A474,'619'!D:F,3,FALSE),0)</f>
        <v>457.4</v>
      </c>
      <c r="J474" s="59">
        <f>_xlfn.IFNA(VLOOKUP(A474,'619'!D:Q,14,FALSE),0)</f>
        <v>0</v>
      </c>
      <c r="K474" s="59">
        <f>_xlfn.IFNA(VLOOKUP(A474,'619'!D:Q,14,FALSE),0)</f>
        <v>0</v>
      </c>
      <c r="O474" t="s">
        <v>531</v>
      </c>
      <c r="P474">
        <f>_xlfn.IFNA(VLOOKUP(A474,IndirectCost!B:L,11,FALSE),"")</f>
        <v>8</v>
      </c>
      <c r="Q474">
        <f t="shared" si="7"/>
        <v>0.08</v>
      </c>
    </row>
    <row r="475" spans="1:17">
      <c r="A475" t="s">
        <v>374</v>
      </c>
      <c r="B475" t="s">
        <v>1110</v>
      </c>
      <c r="C475" t="str">
        <f>VLOOKUP(A475,Districts!A:I,9,FALSE)</f>
        <v>Pearce Elementary School District</v>
      </c>
      <c r="D475" t="str">
        <f>VLOOKUP(A475,Districts!A:P,16,FALSE)</f>
        <v>KRU2MGW77LN8</v>
      </c>
      <c r="F475" s="1">
        <v>45200</v>
      </c>
      <c r="G475" t="s">
        <v>529</v>
      </c>
      <c r="H475" t="s">
        <v>530</v>
      </c>
      <c r="I475" s="59">
        <f>_xlfn.IFNA(VLOOKUP(A475,'619'!D:F,3,FALSE),0)</f>
        <v>802.73</v>
      </c>
      <c r="J475" s="59">
        <f>_xlfn.IFNA(VLOOKUP(A475,'619'!D:Q,14,FALSE),0)</f>
        <v>802.73</v>
      </c>
      <c r="K475" s="59">
        <f>_xlfn.IFNA(VLOOKUP(A475,'619'!D:Q,14,FALSE),0)</f>
        <v>802.73</v>
      </c>
      <c r="O475" t="s">
        <v>531</v>
      </c>
      <c r="P475" t="str">
        <f>_xlfn.IFNA(VLOOKUP(A475,IndirectCost!B:L,11,FALSE),"")</f>
        <v/>
      </c>
      <c r="Q475">
        <f t="shared" si="7"/>
        <v>0</v>
      </c>
    </row>
    <row r="476" spans="1:17">
      <c r="A476" t="s">
        <v>375</v>
      </c>
      <c r="B476" t="s">
        <v>1111</v>
      </c>
      <c r="C476" t="str">
        <f>VLOOKUP(A476,Districts!A:I,9,FALSE)</f>
        <v>PENDERGAST ELEMENTARY SCHOOL DISTRICT 92</v>
      </c>
      <c r="D476" t="str">
        <f>VLOOKUP(A476,Districts!A:P,16,FALSE)</f>
        <v>FT6BFLMJNJM4</v>
      </c>
      <c r="F476" s="1">
        <v>45200</v>
      </c>
      <c r="G476" t="s">
        <v>529</v>
      </c>
      <c r="H476" t="s">
        <v>530</v>
      </c>
      <c r="I476" s="59">
        <f>_xlfn.IFNA(VLOOKUP(A476,'619'!D:F,3,FALSE),0)</f>
        <v>68565.83</v>
      </c>
      <c r="J476" s="59">
        <f>_xlfn.IFNA(VLOOKUP(A476,'619'!D:Q,14,FALSE),0)</f>
        <v>83647.88</v>
      </c>
      <c r="K476" s="59">
        <f>_xlfn.IFNA(VLOOKUP(A476,'619'!D:Q,14,FALSE),0)</f>
        <v>83647.88</v>
      </c>
      <c r="O476" t="s">
        <v>531</v>
      </c>
      <c r="P476">
        <f>_xlfn.IFNA(VLOOKUP(A476,IndirectCost!B:L,11,FALSE),"")</f>
        <v>1.9</v>
      </c>
      <c r="Q476">
        <f t="shared" si="7"/>
        <v>1.9E-2</v>
      </c>
    </row>
    <row r="477" spans="1:17">
      <c r="A477" t="s">
        <v>1112</v>
      </c>
      <c r="B477" t="s">
        <v>1113</v>
      </c>
      <c r="C477" t="str">
        <f>VLOOKUP(A477,Districts!A:I,9,FALSE)</f>
        <v>Pensar Academy</v>
      </c>
      <c r="D477" t="str">
        <f>VLOOKUP(A477,Districts!A:P,16,FALSE)</f>
        <v>D4ZLLRC6JBY5</v>
      </c>
      <c r="F477" s="1">
        <v>45200</v>
      </c>
      <c r="G477" t="s">
        <v>529</v>
      </c>
      <c r="H477" t="s">
        <v>530</v>
      </c>
      <c r="I477" s="59">
        <f>_xlfn.IFNA(VLOOKUP(A477,'619'!D:F,3,FALSE),0)</f>
        <v>0</v>
      </c>
      <c r="J477" s="59">
        <f>_xlfn.IFNA(VLOOKUP(A477,'619'!D:Q,14,FALSE),0)</f>
        <v>0</v>
      </c>
      <c r="K477" s="59">
        <f>_xlfn.IFNA(VLOOKUP(A477,'619'!D:Q,14,FALSE),0)</f>
        <v>0</v>
      </c>
      <c r="O477" t="s">
        <v>531</v>
      </c>
      <c r="P477">
        <f>_xlfn.IFNA(VLOOKUP(A477,IndirectCost!B:L,11,FALSE),"")</f>
        <v>8</v>
      </c>
      <c r="Q477">
        <f t="shared" si="7"/>
        <v>0.08</v>
      </c>
    </row>
    <row r="478" spans="1:17">
      <c r="A478" t="s">
        <v>376</v>
      </c>
      <c r="B478" t="s">
        <v>1114</v>
      </c>
      <c r="C478" t="str">
        <f>VLOOKUP(A478,Districts!A:I,9,FALSE)</f>
        <v>Peoria Unified School District 11</v>
      </c>
      <c r="D478" t="str">
        <f>VLOOKUP(A478,Districts!A:P,16,FALSE)</f>
        <v>QF5ELNJFBVS3</v>
      </c>
      <c r="F478" s="1">
        <v>45200</v>
      </c>
      <c r="G478" t="s">
        <v>529</v>
      </c>
      <c r="H478" t="s">
        <v>530</v>
      </c>
      <c r="I478" s="59">
        <f>_xlfn.IFNA(VLOOKUP(A478,'619'!D:F,3,FALSE),0)</f>
        <v>159838.49</v>
      </c>
      <c r="J478" s="59">
        <f>_xlfn.IFNA(VLOOKUP(A478,'619'!D:Q,14,FALSE),0)</f>
        <v>275067.02</v>
      </c>
      <c r="K478" s="59">
        <f>_xlfn.IFNA(VLOOKUP(A478,'619'!D:Q,14,FALSE),0)</f>
        <v>275067.02</v>
      </c>
      <c r="O478" t="s">
        <v>531</v>
      </c>
      <c r="P478">
        <f>_xlfn.IFNA(VLOOKUP(A478,IndirectCost!B:L,11,FALSE),"")</f>
        <v>2.91</v>
      </c>
      <c r="Q478">
        <f t="shared" si="7"/>
        <v>2.9100000000000001E-2</v>
      </c>
    </row>
    <row r="479" spans="1:17">
      <c r="A479" t="s">
        <v>1115</v>
      </c>
      <c r="B479" t="s">
        <v>1116</v>
      </c>
      <c r="C479" t="str">
        <f>VLOOKUP(A479,Districts!A:I,9,FALSE)</f>
        <v>Pioneer Technology &amp; Arts Academy of Arizona</v>
      </c>
      <c r="D479" t="str">
        <f>VLOOKUP(A479,Districts!A:P,16,FALSE)</f>
        <v>QNJRHZ8LE5R3</v>
      </c>
      <c r="F479" s="1">
        <v>45200</v>
      </c>
      <c r="G479" t="s">
        <v>529</v>
      </c>
      <c r="H479" t="s">
        <v>530</v>
      </c>
      <c r="I479" s="59">
        <f>_xlfn.IFNA(VLOOKUP(A479,'619'!D:F,3,FALSE),0)</f>
        <v>0</v>
      </c>
      <c r="J479" s="59">
        <f>_xlfn.IFNA(VLOOKUP(A479,'619'!D:Q,14,FALSE),0)</f>
        <v>0</v>
      </c>
      <c r="K479" s="59">
        <f>_xlfn.IFNA(VLOOKUP(A479,'619'!D:Q,14,FALSE),0)</f>
        <v>0</v>
      </c>
      <c r="O479" t="s">
        <v>531</v>
      </c>
      <c r="P479" t="str">
        <f>_xlfn.IFNA(VLOOKUP(A479,IndirectCost!B:L,11,FALSE),"")</f>
        <v/>
      </c>
      <c r="Q479">
        <f t="shared" si="7"/>
        <v>0</v>
      </c>
    </row>
    <row r="480" spans="1:17">
      <c r="A480" t="s">
        <v>377</v>
      </c>
      <c r="B480" t="s">
        <v>1117</v>
      </c>
      <c r="C480" t="str">
        <f>VLOOKUP(A480,Districts!A:I,9,FALSE)</f>
        <v>Phoenix Elementary School District 1</v>
      </c>
      <c r="D480" t="str">
        <f>VLOOKUP(A480,Districts!A:P,16,FALSE)</f>
        <v>P5F9QKQ82MX8</v>
      </c>
      <c r="F480" s="1">
        <v>45200</v>
      </c>
      <c r="G480" t="s">
        <v>529</v>
      </c>
      <c r="H480" t="s">
        <v>530</v>
      </c>
      <c r="I480" s="59">
        <f>_xlfn.IFNA(VLOOKUP(A480,'619'!D:F,3,FALSE),0)</f>
        <v>60012.12</v>
      </c>
      <c r="J480" s="59">
        <f>_xlfn.IFNA(VLOOKUP(A480,'619'!D:Q,14,FALSE),0)</f>
        <v>62135.62</v>
      </c>
      <c r="K480" s="59">
        <f>_xlfn.IFNA(VLOOKUP(A480,'619'!D:Q,14,FALSE),0)</f>
        <v>62135.62</v>
      </c>
      <c r="O480" t="s">
        <v>531</v>
      </c>
      <c r="P480">
        <f>_xlfn.IFNA(VLOOKUP(A480,IndirectCost!B:L,11,FALSE),"")</f>
        <v>8</v>
      </c>
      <c r="Q480">
        <f t="shared" si="7"/>
        <v>0.08</v>
      </c>
    </row>
    <row r="481" spans="1:17">
      <c r="A481" t="s">
        <v>378</v>
      </c>
      <c r="B481" t="s">
        <v>1118</v>
      </c>
      <c r="C481" t="str">
        <f>VLOOKUP(A481,Districts!A:I,9,FALSE)</f>
        <v>Phoenix International Academy</v>
      </c>
      <c r="D481" t="str">
        <f>VLOOKUP(A481,Districts!A:P,16,FALSE)</f>
        <v>FULJQWGZMGN3</v>
      </c>
      <c r="F481" s="1">
        <v>45200</v>
      </c>
      <c r="G481" t="s">
        <v>529</v>
      </c>
      <c r="H481" t="s">
        <v>530</v>
      </c>
      <c r="I481" s="59">
        <f>_xlfn.IFNA(VLOOKUP(A481,'619'!D:F,3,FALSE),0)</f>
        <v>68.33</v>
      </c>
      <c r="J481" s="59">
        <f>_xlfn.IFNA(VLOOKUP(A481,'619'!D:Q,14,FALSE),0)</f>
        <v>0</v>
      </c>
      <c r="K481" s="59">
        <f>_xlfn.IFNA(VLOOKUP(A481,'619'!D:Q,14,FALSE),0)</f>
        <v>0</v>
      </c>
      <c r="O481" t="s">
        <v>531</v>
      </c>
      <c r="P481" t="str">
        <f>_xlfn.IFNA(VLOOKUP(A481,IndirectCost!B:L,11,FALSE),"")</f>
        <v/>
      </c>
      <c r="Q481">
        <f t="shared" si="7"/>
        <v>0</v>
      </c>
    </row>
    <row r="482" spans="1:17">
      <c r="A482" t="s">
        <v>1119</v>
      </c>
      <c r="B482" t="s">
        <v>1120</v>
      </c>
      <c r="C482" t="str">
        <f>VLOOKUP(A482,Districts!A:I,9,FALSE)</f>
        <v>Phoenix School of Academic Excellence</v>
      </c>
      <c r="D482" t="str">
        <f>VLOOKUP(A482,Districts!A:P,16,FALSE)</f>
        <v>JGNEPR4P9VD9</v>
      </c>
      <c r="F482" s="1">
        <v>45200</v>
      </c>
      <c r="G482" t="s">
        <v>529</v>
      </c>
      <c r="H482" t="s">
        <v>530</v>
      </c>
      <c r="I482" s="59">
        <f>_xlfn.IFNA(VLOOKUP(A482,'619'!D:F,3,FALSE),0)</f>
        <v>0</v>
      </c>
      <c r="J482" s="59">
        <f>_xlfn.IFNA(VLOOKUP(A482,'619'!D:Q,14,FALSE),0)</f>
        <v>0</v>
      </c>
      <c r="K482" s="59">
        <f>_xlfn.IFNA(VLOOKUP(A482,'619'!D:Q,14,FALSE),0)</f>
        <v>0</v>
      </c>
      <c r="O482" t="s">
        <v>531</v>
      </c>
      <c r="P482" t="str">
        <f>_xlfn.IFNA(VLOOKUP(A482,IndirectCost!B:L,11,FALSE),"")</f>
        <v/>
      </c>
      <c r="Q482">
        <f t="shared" si="7"/>
        <v>0</v>
      </c>
    </row>
    <row r="483" spans="1:17">
      <c r="A483" t="s">
        <v>1121</v>
      </c>
      <c r="B483" t="s">
        <v>1122</v>
      </c>
      <c r="C483" t="str">
        <f>VLOOKUP(A483,Districts!A:I,9,FALSE)</f>
        <v>PHOENIX UNION HIGH SCHOOL DISTRICT NO 210</v>
      </c>
      <c r="D483" t="str">
        <f>VLOOKUP(A483,Districts!A:P,16,FALSE)</f>
        <v>J55DZJKWLBG6</v>
      </c>
      <c r="F483" s="1">
        <v>45200</v>
      </c>
      <c r="G483" t="s">
        <v>529</v>
      </c>
      <c r="H483" t="s">
        <v>530</v>
      </c>
      <c r="I483" s="59">
        <f>_xlfn.IFNA(VLOOKUP(A483,'619'!D:F,3,FALSE),0)</f>
        <v>0</v>
      </c>
      <c r="J483" s="59">
        <f>_xlfn.IFNA(VLOOKUP(A483,'619'!D:Q,14,FALSE),0)</f>
        <v>0</v>
      </c>
      <c r="K483" s="59">
        <f>_xlfn.IFNA(VLOOKUP(A483,'619'!D:Q,14,FALSE),0)</f>
        <v>0</v>
      </c>
      <c r="O483" t="s">
        <v>531</v>
      </c>
      <c r="P483">
        <f>_xlfn.IFNA(VLOOKUP(A483,IndirectCost!B:L,11,FALSE),"")</f>
        <v>5.92</v>
      </c>
      <c r="Q483">
        <f t="shared" si="7"/>
        <v>5.9200000000000003E-2</v>
      </c>
    </row>
    <row r="484" spans="1:17">
      <c r="A484" t="s">
        <v>379</v>
      </c>
      <c r="B484" t="s">
        <v>1123</v>
      </c>
      <c r="C484" t="str">
        <f>VLOOKUP(A484,Districts!A:I,9,FALSE)</f>
        <v>Picacho Elementary School District 33</v>
      </c>
      <c r="D484" t="str">
        <f>VLOOKUP(A484,Districts!A:P,16,FALSE)</f>
        <v>K4DCR8GM7MK5</v>
      </c>
      <c r="F484" s="1">
        <v>45200</v>
      </c>
      <c r="G484" t="s">
        <v>529</v>
      </c>
      <c r="H484" t="s">
        <v>530</v>
      </c>
      <c r="I484" s="59">
        <f>_xlfn.IFNA(VLOOKUP(A484,'619'!D:F,3,FALSE),0)</f>
        <v>1005.72</v>
      </c>
      <c r="J484" s="59">
        <f>_xlfn.IFNA(VLOOKUP(A484,'619'!D:Q,14,FALSE),0)</f>
        <v>2458.11</v>
      </c>
      <c r="K484" s="59">
        <f>_xlfn.IFNA(VLOOKUP(A484,'619'!D:Q,14,FALSE),0)</f>
        <v>2458.11</v>
      </c>
      <c r="O484" t="s">
        <v>531</v>
      </c>
      <c r="P484">
        <f>_xlfn.IFNA(VLOOKUP(A484,IndirectCost!B:L,11,FALSE),"")</f>
        <v>8</v>
      </c>
      <c r="Q484">
        <f t="shared" si="7"/>
        <v>0.08</v>
      </c>
    </row>
    <row r="485" spans="1:17">
      <c r="A485" t="s">
        <v>1124</v>
      </c>
      <c r="B485" t="s">
        <v>1125</v>
      </c>
      <c r="C485" t="str">
        <f>VLOOKUP(A485,Districts!A:I,9,FALSE)</f>
        <v>Pillar Charter School DBA Pillar Academy for Business &amp; Finance</v>
      </c>
      <c r="D485" t="str">
        <f>VLOOKUP(A485,Districts!A:P,16,FALSE)</f>
        <v>MB9HK1J58YT8</v>
      </c>
      <c r="F485" s="1">
        <v>45200</v>
      </c>
      <c r="G485" t="s">
        <v>529</v>
      </c>
      <c r="H485" t="s">
        <v>530</v>
      </c>
      <c r="I485" s="59">
        <f>_xlfn.IFNA(VLOOKUP(A485,'619'!D:F,3,FALSE),0)</f>
        <v>0</v>
      </c>
      <c r="J485" s="59">
        <f>_xlfn.IFNA(VLOOKUP(A485,'619'!D:Q,14,FALSE),0)</f>
        <v>0</v>
      </c>
      <c r="K485" s="59">
        <f>_xlfn.IFNA(VLOOKUP(A485,'619'!D:Q,14,FALSE),0)</f>
        <v>0</v>
      </c>
      <c r="O485" t="s">
        <v>531</v>
      </c>
      <c r="P485" t="str">
        <f>_xlfn.IFNA(VLOOKUP(A485,IndirectCost!B:L,11,FALSE),"")</f>
        <v/>
      </c>
      <c r="Q485">
        <f t="shared" si="7"/>
        <v>0</v>
      </c>
    </row>
    <row r="486" spans="1:17">
      <c r="A486" t="s">
        <v>1126</v>
      </c>
      <c r="B486" t="s">
        <v>1127</v>
      </c>
      <c r="C486" t="str">
        <f>VLOOKUP(A486,Districts!A:I,9,FALSE)</f>
        <v>Pima County Superintendent of Schools</v>
      </c>
      <c r="D486" t="str">
        <f>VLOOKUP(A486,Districts!A:P,16,FALSE)</f>
        <v>Q8UZWV7MS6H3</v>
      </c>
      <c r="F486" s="1">
        <v>45200</v>
      </c>
      <c r="G486" t="s">
        <v>529</v>
      </c>
      <c r="H486" t="s">
        <v>530</v>
      </c>
      <c r="I486" s="59">
        <f>_xlfn.IFNA(VLOOKUP(A486,'619'!D:F,3,FALSE),0)</f>
        <v>0</v>
      </c>
      <c r="J486" s="59">
        <f>_xlfn.IFNA(VLOOKUP(A486,'619'!D:Q,14,FALSE),0)</f>
        <v>0</v>
      </c>
      <c r="K486" s="59">
        <f>_xlfn.IFNA(VLOOKUP(A486,'619'!D:Q,14,FALSE),0)</f>
        <v>0</v>
      </c>
      <c r="O486" t="s">
        <v>531</v>
      </c>
      <c r="P486" t="str">
        <f>_xlfn.IFNA(VLOOKUP(A486,IndirectCost!B:L,11,FALSE),"")</f>
        <v/>
      </c>
      <c r="Q486">
        <f t="shared" si="7"/>
        <v>0</v>
      </c>
    </row>
    <row r="487" spans="1:17">
      <c r="A487" t="s">
        <v>1128</v>
      </c>
      <c r="B487" t="s">
        <v>1129</v>
      </c>
      <c r="C487" t="str">
        <f>VLOOKUP(A487,Districts!A:I,9,FALSE)</f>
        <v>Pima County</v>
      </c>
      <c r="D487" t="str">
        <f>VLOOKUP(A487,Districts!A:P,16,FALSE)</f>
        <v>D593JYZZRK25</v>
      </c>
      <c r="F487" s="1">
        <v>45200</v>
      </c>
      <c r="G487" t="s">
        <v>529</v>
      </c>
      <c r="H487" t="s">
        <v>530</v>
      </c>
      <c r="I487" s="59">
        <f>_xlfn.IFNA(VLOOKUP(A487,'619'!D:F,3,FALSE),0)</f>
        <v>0</v>
      </c>
      <c r="J487" s="59">
        <f>_xlfn.IFNA(VLOOKUP(A487,'619'!D:Q,14,FALSE),0)</f>
        <v>0</v>
      </c>
      <c r="K487" s="59">
        <f>_xlfn.IFNA(VLOOKUP(A487,'619'!D:Q,14,FALSE),0)</f>
        <v>0</v>
      </c>
      <c r="O487" t="s">
        <v>531</v>
      </c>
      <c r="P487">
        <f>_xlfn.IFNA(VLOOKUP(A487,IndirectCost!B:L,11,FALSE),"")</f>
        <v>8</v>
      </c>
      <c r="Q487">
        <f t="shared" si="7"/>
        <v>0.08</v>
      </c>
    </row>
    <row r="488" spans="1:17">
      <c r="A488" t="s">
        <v>1130</v>
      </c>
      <c r="B488" t="s">
        <v>1131</v>
      </c>
      <c r="C488" t="str">
        <f>VLOOKUP(A488,Districts!A:I,9,FALSE)</f>
        <v>Pima Prevention Partnership - PPP</v>
      </c>
      <c r="D488" t="str">
        <f>VLOOKUP(A488,Districts!A:P,16,FALSE)</f>
        <v>JKRMNLBTPN28</v>
      </c>
      <c r="F488" s="1">
        <v>45200</v>
      </c>
      <c r="G488" t="s">
        <v>529</v>
      </c>
      <c r="H488" t="s">
        <v>530</v>
      </c>
      <c r="I488" s="59">
        <f>_xlfn.IFNA(VLOOKUP(A488,'619'!D:F,3,FALSE),0)</f>
        <v>0</v>
      </c>
      <c r="J488" s="59">
        <f>_xlfn.IFNA(VLOOKUP(A488,'619'!D:Q,14,FALSE),0)</f>
        <v>0</v>
      </c>
      <c r="K488" s="59">
        <f>_xlfn.IFNA(VLOOKUP(A488,'619'!D:Q,14,FALSE),0)</f>
        <v>0</v>
      </c>
      <c r="O488" t="s">
        <v>531</v>
      </c>
      <c r="P488">
        <f>_xlfn.IFNA(VLOOKUP(A488,IndirectCost!B:L,11,FALSE),"")</f>
        <v>8</v>
      </c>
      <c r="Q488">
        <f t="shared" si="7"/>
        <v>0.08</v>
      </c>
    </row>
    <row r="489" spans="1:17">
      <c r="A489" t="s">
        <v>1132</v>
      </c>
      <c r="B489" t="s">
        <v>1133</v>
      </c>
      <c r="C489" t="str">
        <f>VLOOKUP(A489,Districts!A:I,9,FALSE)</f>
        <v>Pima Prevention Partnership - PPP</v>
      </c>
      <c r="D489" t="str">
        <f>VLOOKUP(A489,Districts!A:P,16,FALSE)</f>
        <v>JKRMNLBTPN28</v>
      </c>
      <c r="F489" s="1">
        <v>45200</v>
      </c>
      <c r="G489" t="s">
        <v>529</v>
      </c>
      <c r="H489" t="s">
        <v>530</v>
      </c>
      <c r="I489" s="59">
        <f>_xlfn.IFNA(VLOOKUP(A489,'619'!D:F,3,FALSE),0)</f>
        <v>0</v>
      </c>
      <c r="J489" s="59">
        <f>_xlfn.IFNA(VLOOKUP(A489,'619'!D:Q,14,FALSE),0)</f>
        <v>0</v>
      </c>
      <c r="K489" s="59">
        <f>_xlfn.IFNA(VLOOKUP(A489,'619'!D:Q,14,FALSE),0)</f>
        <v>0</v>
      </c>
      <c r="O489" t="s">
        <v>531</v>
      </c>
      <c r="P489">
        <f>_xlfn.IFNA(VLOOKUP(A489,IndirectCost!B:L,11,FALSE),"")</f>
        <v>8</v>
      </c>
      <c r="Q489">
        <f t="shared" si="7"/>
        <v>0.08</v>
      </c>
    </row>
    <row r="490" spans="1:17">
      <c r="A490" t="s">
        <v>1134</v>
      </c>
      <c r="B490" t="s">
        <v>1135</v>
      </c>
      <c r="C490" t="str">
        <f>VLOOKUP(A490,Districts!A:I,9,FALSE)</f>
        <v>Pima Prevention Partnership - PPP</v>
      </c>
      <c r="D490" t="str">
        <f>VLOOKUP(A490,Districts!A:P,16,FALSE)</f>
        <v>JKRMNLBTPN28</v>
      </c>
      <c r="F490" s="1">
        <v>45200</v>
      </c>
      <c r="G490" t="s">
        <v>529</v>
      </c>
      <c r="H490" t="s">
        <v>530</v>
      </c>
      <c r="I490" s="59">
        <f>_xlfn.IFNA(VLOOKUP(A490,'619'!D:F,3,FALSE),0)</f>
        <v>0</v>
      </c>
      <c r="J490" s="59">
        <f>_xlfn.IFNA(VLOOKUP(A490,'619'!D:Q,14,FALSE),0)</f>
        <v>0</v>
      </c>
      <c r="K490" s="59">
        <f>_xlfn.IFNA(VLOOKUP(A490,'619'!D:Q,14,FALSE),0)</f>
        <v>0</v>
      </c>
      <c r="O490" t="s">
        <v>531</v>
      </c>
      <c r="P490">
        <f>_xlfn.IFNA(VLOOKUP(A490,IndirectCost!B:L,11,FALSE),"")</f>
        <v>8</v>
      </c>
      <c r="Q490">
        <f t="shared" si="7"/>
        <v>0.08</v>
      </c>
    </row>
    <row r="491" spans="1:17">
      <c r="A491" t="s">
        <v>380</v>
      </c>
      <c r="B491" t="s">
        <v>1136</v>
      </c>
      <c r="C491" t="str">
        <f>VLOOKUP(A491,Districts!A:I,9,FALSE)</f>
        <v>Pima Unified School District 6</v>
      </c>
      <c r="D491" t="str">
        <f>VLOOKUP(A491,Districts!A:P,16,FALSE)</f>
        <v>P3XUNQ7HJ495</v>
      </c>
      <c r="F491" s="1">
        <v>45200</v>
      </c>
      <c r="G491" t="s">
        <v>529</v>
      </c>
      <c r="H491" t="s">
        <v>530</v>
      </c>
      <c r="I491" s="59">
        <f>_xlfn.IFNA(VLOOKUP(A491,'619'!D:F,3,FALSE),0)</f>
        <v>6978.14</v>
      </c>
      <c r="J491" s="59">
        <f>_xlfn.IFNA(VLOOKUP(A491,'619'!D:Q,14,FALSE),0)</f>
        <v>6978.14</v>
      </c>
      <c r="K491" s="59">
        <f>_xlfn.IFNA(VLOOKUP(A491,'619'!D:Q,14,FALSE),0)</f>
        <v>6978.14</v>
      </c>
      <c r="O491" t="s">
        <v>531</v>
      </c>
      <c r="P491">
        <f>_xlfn.IFNA(VLOOKUP(A491,IndirectCost!B:L,11,FALSE),"")</f>
        <v>8</v>
      </c>
      <c r="Q491">
        <f t="shared" si="7"/>
        <v>0.08</v>
      </c>
    </row>
    <row r="492" spans="1:17">
      <c r="A492" t="s">
        <v>1137</v>
      </c>
      <c r="B492" t="s">
        <v>1138</v>
      </c>
      <c r="C492">
        <f>VLOOKUP(A492,Districts!A:I,9,FALSE)</f>
        <v>0</v>
      </c>
      <c r="D492">
        <f>VLOOKUP(A492,Districts!A:P,16,FALSE)</f>
        <v>0</v>
      </c>
      <c r="F492" s="1">
        <v>45200</v>
      </c>
      <c r="G492" t="s">
        <v>529</v>
      </c>
      <c r="H492" t="s">
        <v>530</v>
      </c>
      <c r="I492" s="59">
        <f>_xlfn.IFNA(VLOOKUP(A492,'619'!D:F,3,FALSE),0)</f>
        <v>0</v>
      </c>
      <c r="J492" s="59">
        <f>_xlfn.IFNA(VLOOKUP(A492,'619'!D:Q,14,FALSE),0)</f>
        <v>0</v>
      </c>
      <c r="K492" s="59">
        <f>_xlfn.IFNA(VLOOKUP(A492,'619'!D:Q,14,FALSE),0)</f>
        <v>0</v>
      </c>
      <c r="O492" t="s">
        <v>531</v>
      </c>
      <c r="P492" t="str">
        <f>_xlfn.IFNA(VLOOKUP(A492,IndirectCost!B:L,11,FALSE),"")</f>
        <v/>
      </c>
      <c r="Q492">
        <f t="shared" si="7"/>
        <v>0</v>
      </c>
    </row>
    <row r="493" spans="1:17">
      <c r="A493" t="s">
        <v>381</v>
      </c>
      <c r="B493" t="s">
        <v>1139</v>
      </c>
      <c r="C493" t="str">
        <f>VLOOKUP(A493,Districts!A:I,9,FALSE)</f>
        <v>PINE FOREST EDU ASSOC. INC.</v>
      </c>
      <c r="D493" t="str">
        <f>VLOOKUP(A493,Districts!A:P,16,FALSE)</f>
        <v>P1LLF3UXDWA8</v>
      </c>
      <c r="F493" s="1">
        <v>45200</v>
      </c>
      <c r="G493" t="s">
        <v>529</v>
      </c>
      <c r="H493" t="s">
        <v>530</v>
      </c>
      <c r="I493" s="59">
        <f>_xlfn.IFNA(VLOOKUP(A493,'619'!D:F,3,FALSE),0)</f>
        <v>776.3</v>
      </c>
      <c r="J493" s="59">
        <f>_xlfn.IFNA(VLOOKUP(A493,'619'!D:Q,14,FALSE),0)</f>
        <v>0</v>
      </c>
      <c r="K493" s="59">
        <f>_xlfn.IFNA(VLOOKUP(A493,'619'!D:Q,14,FALSE),0)</f>
        <v>0</v>
      </c>
      <c r="O493" t="s">
        <v>531</v>
      </c>
      <c r="P493" t="str">
        <f>_xlfn.IFNA(VLOOKUP(A493,IndirectCost!B:L,11,FALSE),"")</f>
        <v/>
      </c>
      <c r="Q493">
        <f t="shared" si="7"/>
        <v>0</v>
      </c>
    </row>
    <row r="494" spans="1:17">
      <c r="A494" t="s">
        <v>382</v>
      </c>
      <c r="B494" t="s">
        <v>1140</v>
      </c>
      <c r="C494" t="str">
        <f>VLOOKUP(A494,Districts!A:I,9,FALSE)</f>
        <v>County of GIla 12 School Distirct Pine Strawberry School</v>
      </c>
      <c r="D494" t="str">
        <f>VLOOKUP(A494,Districts!A:P,16,FALSE)</f>
        <v>SDMNYRVQ1AY3</v>
      </c>
      <c r="F494" s="1">
        <v>45200</v>
      </c>
      <c r="G494" t="s">
        <v>529</v>
      </c>
      <c r="H494" t="s">
        <v>530</v>
      </c>
      <c r="I494" s="59">
        <f>_xlfn.IFNA(VLOOKUP(A494,'619'!D:F,3,FALSE),0)</f>
        <v>2174.63</v>
      </c>
      <c r="J494" s="59">
        <f>_xlfn.IFNA(VLOOKUP(A494,'619'!D:Q,14,FALSE),0)</f>
        <v>5282.79</v>
      </c>
      <c r="K494" s="59">
        <f>_xlfn.IFNA(VLOOKUP(A494,'619'!D:Q,14,FALSE),0)</f>
        <v>5282.79</v>
      </c>
      <c r="O494" t="s">
        <v>531</v>
      </c>
      <c r="P494" t="str">
        <f>_xlfn.IFNA(VLOOKUP(A494,IndirectCost!B:L,11,FALSE),"")</f>
        <v/>
      </c>
      <c r="Q494">
        <f t="shared" si="7"/>
        <v>0</v>
      </c>
    </row>
    <row r="495" spans="1:17">
      <c r="A495" t="s">
        <v>383</v>
      </c>
      <c r="B495" t="s">
        <v>1141</v>
      </c>
      <c r="C495" t="str">
        <f>VLOOKUP(A495,Districts!A:I,9,FALSE)</f>
        <v>Pinon Unified School District</v>
      </c>
      <c r="D495" t="str">
        <f>VLOOKUP(A495,Districts!A:P,16,FALSE)</f>
        <v>VVQ2WTDB2KK3</v>
      </c>
      <c r="F495" s="1">
        <v>45200</v>
      </c>
      <c r="G495" t="s">
        <v>529</v>
      </c>
      <c r="H495" t="s">
        <v>530</v>
      </c>
      <c r="I495" s="59">
        <f>_xlfn.IFNA(VLOOKUP(A495,'619'!D:F,3,FALSE),0)</f>
        <v>10231.450000000001</v>
      </c>
      <c r="J495" s="59">
        <f>_xlfn.IFNA(VLOOKUP(A495,'619'!D:Q,14,FALSE),0)</f>
        <v>10231.450000000001</v>
      </c>
      <c r="K495" s="59">
        <f>_xlfn.IFNA(VLOOKUP(A495,'619'!D:Q,14,FALSE),0)</f>
        <v>10231.450000000001</v>
      </c>
      <c r="O495" t="s">
        <v>531</v>
      </c>
      <c r="P495">
        <f>_xlfn.IFNA(VLOOKUP(A495,IndirectCost!B:L,11,FALSE),"")</f>
        <v>8</v>
      </c>
      <c r="Q495">
        <f t="shared" si="7"/>
        <v>0.08</v>
      </c>
    </row>
    <row r="496" spans="1:17">
      <c r="A496" t="s">
        <v>384</v>
      </c>
      <c r="B496" t="s">
        <v>1142</v>
      </c>
      <c r="C496" t="str">
        <f>VLOOKUP(A496,Districts!A:I,9,FALSE)</f>
        <v>Pioneer Preparatory School</v>
      </c>
      <c r="D496" t="str">
        <f>VLOOKUP(A496,Districts!A:P,16,FALSE)</f>
        <v>SNBYH6NELBJ1</v>
      </c>
      <c r="F496" s="1">
        <v>45200</v>
      </c>
      <c r="G496" t="s">
        <v>529</v>
      </c>
      <c r="H496" t="s">
        <v>530</v>
      </c>
      <c r="I496" s="59">
        <f>_xlfn.IFNA(VLOOKUP(A496,'619'!D:F,3,FALSE),0)</f>
        <v>1355.96</v>
      </c>
      <c r="J496" s="59">
        <f>_xlfn.IFNA(VLOOKUP(A496,'619'!D:Q,14,FALSE),0)</f>
        <v>3252.61</v>
      </c>
      <c r="K496" s="59">
        <f>_xlfn.IFNA(VLOOKUP(A496,'619'!D:Q,14,FALSE),0)</f>
        <v>3252.61</v>
      </c>
      <c r="O496" t="s">
        <v>531</v>
      </c>
      <c r="P496" t="str">
        <f>_xlfn.IFNA(VLOOKUP(A496,IndirectCost!B:L,11,FALSE),"")</f>
        <v/>
      </c>
      <c r="Q496">
        <f t="shared" si="7"/>
        <v>0</v>
      </c>
    </row>
    <row r="497" spans="1:17">
      <c r="A497" t="s">
        <v>385</v>
      </c>
      <c r="B497" t="s">
        <v>1143</v>
      </c>
      <c r="C497" t="str">
        <f>VLOOKUP(A497,Districts!A:I,9,FALSE)</f>
        <v>POINTE SCHOOLS</v>
      </c>
      <c r="D497" t="str">
        <f>VLOOKUP(A497,Districts!A:P,16,FALSE)</f>
        <v>P9HZAMWMDEY1</v>
      </c>
      <c r="F497" s="1">
        <v>45200</v>
      </c>
      <c r="G497" t="s">
        <v>529</v>
      </c>
      <c r="H497" t="s">
        <v>530</v>
      </c>
      <c r="I497" s="59">
        <f>_xlfn.IFNA(VLOOKUP(A497,'619'!D:F,3,FALSE),0)</f>
        <v>1988.03</v>
      </c>
      <c r="J497" s="59">
        <f>_xlfn.IFNA(VLOOKUP(A497,'619'!D:Q,14,FALSE),0)</f>
        <v>0</v>
      </c>
      <c r="K497" s="59">
        <f>_xlfn.IFNA(VLOOKUP(A497,'619'!D:Q,14,FALSE),0)</f>
        <v>0</v>
      </c>
      <c r="O497" t="s">
        <v>531</v>
      </c>
      <c r="P497" t="str">
        <f>_xlfn.IFNA(VLOOKUP(A497,IndirectCost!B:L,11,FALSE),"")</f>
        <v/>
      </c>
      <c r="Q497">
        <f t="shared" si="7"/>
        <v>0</v>
      </c>
    </row>
    <row r="498" spans="1:17">
      <c r="A498" t="s">
        <v>386</v>
      </c>
      <c r="B498" t="s">
        <v>1144</v>
      </c>
      <c r="C498" t="str">
        <f>VLOOKUP(A498,Districts!A:I,9,FALSE)</f>
        <v>POMERENE SCHOOL DISTRICT 64</v>
      </c>
      <c r="D498" t="str">
        <f>VLOOKUP(A498,Districts!A:P,16,FALSE)</f>
        <v>PSBND81AM6T7</v>
      </c>
      <c r="F498" s="1">
        <v>45200</v>
      </c>
      <c r="G498" t="s">
        <v>529</v>
      </c>
      <c r="H498" t="s">
        <v>530</v>
      </c>
      <c r="I498" s="59">
        <f>_xlfn.IFNA(VLOOKUP(A498,'619'!D:F,3,FALSE),0)</f>
        <v>310.04000000000002</v>
      </c>
      <c r="J498" s="59">
        <f>_xlfn.IFNA(VLOOKUP(A498,'619'!D:Q,14,FALSE),0)</f>
        <v>0</v>
      </c>
      <c r="K498" s="59">
        <f>_xlfn.IFNA(VLOOKUP(A498,'619'!D:Q,14,FALSE),0)</f>
        <v>0</v>
      </c>
      <c r="O498" t="s">
        <v>531</v>
      </c>
      <c r="P498" t="str">
        <f>_xlfn.IFNA(VLOOKUP(A498,IndirectCost!B:L,11,FALSE),"")</f>
        <v/>
      </c>
      <c r="Q498">
        <f t="shared" si="7"/>
        <v>0</v>
      </c>
    </row>
    <row r="499" spans="1:17">
      <c r="A499" t="s">
        <v>1145</v>
      </c>
      <c r="B499" t="s">
        <v>1146</v>
      </c>
      <c r="C499" t="str">
        <f>VLOOKUP(A499,Districts!A:I,9,FALSE)</f>
        <v>Portable Practical Education Preparati</v>
      </c>
      <c r="D499" t="str">
        <f>VLOOKUP(A499,Districts!A:P,16,FALSE)</f>
        <v>C15RWPNMH747</v>
      </c>
      <c r="F499" s="1">
        <v>45200</v>
      </c>
      <c r="G499" t="s">
        <v>529</v>
      </c>
      <c r="H499" t="s">
        <v>530</v>
      </c>
      <c r="I499" s="59">
        <f>_xlfn.IFNA(VLOOKUP(A499,'619'!D:F,3,FALSE),0)</f>
        <v>0</v>
      </c>
      <c r="J499" s="59">
        <f>_xlfn.IFNA(VLOOKUP(A499,'619'!D:Q,14,FALSE),0)</f>
        <v>0</v>
      </c>
      <c r="K499" s="59">
        <f>_xlfn.IFNA(VLOOKUP(A499,'619'!D:Q,14,FALSE),0)</f>
        <v>0</v>
      </c>
      <c r="O499" t="s">
        <v>531</v>
      </c>
      <c r="P499" t="str">
        <f>_xlfn.IFNA(VLOOKUP(A499,IndirectCost!B:L,11,FALSE),"")</f>
        <v/>
      </c>
      <c r="Q499">
        <f t="shared" si="7"/>
        <v>0</v>
      </c>
    </row>
    <row r="500" spans="1:17">
      <c r="A500" t="s">
        <v>387</v>
      </c>
      <c r="B500" t="s">
        <v>1146</v>
      </c>
      <c r="C500" t="str">
        <f>VLOOKUP(A500,Districts!A:I,9,FALSE)</f>
        <v>Portable Practical Educational Preparation</v>
      </c>
      <c r="D500" t="str">
        <f>VLOOKUP(A500,Districts!A:P,16,FALSE)</f>
        <v>C15RWPNMH747</v>
      </c>
      <c r="F500" s="1">
        <v>45200</v>
      </c>
      <c r="G500" t="s">
        <v>529</v>
      </c>
      <c r="H500" t="s">
        <v>530</v>
      </c>
      <c r="I500" s="59">
        <f>_xlfn.IFNA(VLOOKUP(A500,'619'!D:F,3,FALSE),0)</f>
        <v>4652.05</v>
      </c>
      <c r="J500" s="59">
        <f>_xlfn.IFNA(VLOOKUP(A500,'619'!D:Q,14,FALSE),0)</f>
        <v>0</v>
      </c>
      <c r="K500" s="59">
        <f>_xlfn.IFNA(VLOOKUP(A500,'619'!D:Q,14,FALSE),0)</f>
        <v>0</v>
      </c>
      <c r="O500" t="s">
        <v>531</v>
      </c>
      <c r="P500" t="str">
        <f>_xlfn.IFNA(VLOOKUP(A500,IndirectCost!B:L,11,FALSE),"")</f>
        <v/>
      </c>
      <c r="Q500">
        <f t="shared" si="7"/>
        <v>0</v>
      </c>
    </row>
    <row r="501" spans="1:17">
      <c r="A501" t="s">
        <v>1147</v>
      </c>
      <c r="B501" t="s">
        <v>1148</v>
      </c>
      <c r="C501" t="str">
        <f>VLOOKUP(A501,Districts!A:I,9,FALSE)</f>
        <v>Premier High School</v>
      </c>
      <c r="D501" t="str">
        <f>VLOOKUP(A501,Districts!A:P,16,FALSE)</f>
        <v>G1EUX14AGYZ9</v>
      </c>
      <c r="F501" s="1">
        <v>45200</v>
      </c>
      <c r="G501" t="s">
        <v>529</v>
      </c>
      <c r="H501" t="s">
        <v>530</v>
      </c>
      <c r="I501" s="59">
        <f>_xlfn.IFNA(VLOOKUP(A501,'619'!D:F,3,FALSE),0)</f>
        <v>0</v>
      </c>
      <c r="J501" s="59">
        <f>_xlfn.IFNA(VLOOKUP(A501,'619'!D:Q,14,FALSE),0)</f>
        <v>0</v>
      </c>
      <c r="K501" s="59">
        <f>_xlfn.IFNA(VLOOKUP(A501,'619'!D:Q,14,FALSE),0)</f>
        <v>0</v>
      </c>
      <c r="O501" t="s">
        <v>531</v>
      </c>
      <c r="P501" t="str">
        <f>_xlfn.IFNA(VLOOKUP(A501,IndirectCost!B:L,11,FALSE),"")</f>
        <v/>
      </c>
      <c r="Q501">
        <f t="shared" si="7"/>
        <v>0</v>
      </c>
    </row>
    <row r="502" spans="1:17">
      <c r="A502" t="s">
        <v>1149</v>
      </c>
      <c r="B502" t="s">
        <v>1150</v>
      </c>
      <c r="C502" t="str">
        <f>VLOOKUP(A502,Districts!A:I,9,FALSE)</f>
        <v>Premier Prep Online Academy</v>
      </c>
      <c r="D502" t="str">
        <f>VLOOKUP(A502,Districts!A:P,16,FALSE)</f>
        <v>DKPVHC9HXBF5</v>
      </c>
      <c r="F502" s="1">
        <v>45200</v>
      </c>
      <c r="G502" t="s">
        <v>529</v>
      </c>
      <c r="H502" t="s">
        <v>530</v>
      </c>
      <c r="I502" s="59">
        <f>_xlfn.IFNA(VLOOKUP(A502,'619'!D:F,3,FALSE),0)</f>
        <v>0</v>
      </c>
      <c r="J502" s="59">
        <f>_xlfn.IFNA(VLOOKUP(A502,'619'!D:Q,14,FALSE),0)</f>
        <v>0</v>
      </c>
      <c r="K502" s="59">
        <f>_xlfn.IFNA(VLOOKUP(A502,'619'!D:Q,14,FALSE),0)</f>
        <v>0</v>
      </c>
      <c r="O502" t="s">
        <v>531</v>
      </c>
      <c r="P502" t="str">
        <f>_xlfn.IFNA(VLOOKUP(A502,IndirectCost!B:L,11,FALSE),"")</f>
        <v/>
      </c>
      <c r="Q502">
        <f t="shared" si="7"/>
        <v>0</v>
      </c>
    </row>
    <row r="503" spans="1:17">
      <c r="A503" t="s">
        <v>388</v>
      </c>
      <c r="B503" t="s">
        <v>1151</v>
      </c>
      <c r="C503" t="str">
        <f>VLOOKUP(A503,Districts!A:I,9,FALSE)</f>
        <v>Prescott Unified School District 1</v>
      </c>
      <c r="D503" t="str">
        <f>VLOOKUP(A503,Districts!A:P,16,FALSE)</f>
        <v>VYFKZQ6AJTB4</v>
      </c>
      <c r="F503" s="1">
        <v>45200</v>
      </c>
      <c r="G503" t="s">
        <v>529</v>
      </c>
      <c r="H503" t="s">
        <v>530</v>
      </c>
      <c r="I503" s="59">
        <f>_xlfn.IFNA(VLOOKUP(A503,'619'!D:F,3,FALSE),0)</f>
        <v>15321.95</v>
      </c>
      <c r="J503" s="59">
        <f>_xlfn.IFNA(VLOOKUP(A503,'619'!D:Q,14,FALSE),0)</f>
        <v>21895.11</v>
      </c>
      <c r="K503" s="59">
        <f>_xlfn.IFNA(VLOOKUP(A503,'619'!D:Q,14,FALSE),0)</f>
        <v>21895.11</v>
      </c>
      <c r="O503" t="s">
        <v>531</v>
      </c>
      <c r="P503">
        <f>_xlfn.IFNA(VLOOKUP(A503,IndirectCost!B:L,11,FALSE),"")</f>
        <v>4.05</v>
      </c>
      <c r="Q503">
        <f t="shared" si="7"/>
        <v>4.0500000000000001E-2</v>
      </c>
    </row>
    <row r="504" spans="1:17">
      <c r="A504" t="s">
        <v>389</v>
      </c>
      <c r="B504" t="s">
        <v>1152</v>
      </c>
      <c r="C504" t="str">
        <f>VLOOKUP(A504,Districts!A:I,9,FALSE)</f>
        <v>Prescott Valley Charter School</v>
      </c>
      <c r="D504" t="str">
        <f>VLOOKUP(A504,Districts!A:P,16,FALSE)</f>
        <v>D13QQKNYKAC1</v>
      </c>
      <c r="F504" s="1">
        <v>45200</v>
      </c>
      <c r="G504" t="s">
        <v>529</v>
      </c>
      <c r="H504" t="s">
        <v>530</v>
      </c>
      <c r="I504" s="59">
        <f>_xlfn.IFNA(VLOOKUP(A504,'619'!D:F,3,FALSE),0)</f>
        <v>600.44000000000005</v>
      </c>
      <c r="J504" s="59">
        <f>_xlfn.IFNA(VLOOKUP(A504,'619'!D:Q,14,FALSE),0)</f>
        <v>600.44000000000005</v>
      </c>
      <c r="K504" s="59">
        <f>_xlfn.IFNA(VLOOKUP(A504,'619'!D:Q,14,FALSE),0)</f>
        <v>600.44000000000005</v>
      </c>
      <c r="O504" t="s">
        <v>531</v>
      </c>
      <c r="P504">
        <f>_xlfn.IFNA(VLOOKUP(A504,IndirectCost!B:L,11,FALSE),"")</f>
        <v>0</v>
      </c>
      <c r="Q504">
        <f t="shared" si="7"/>
        <v>0</v>
      </c>
    </row>
    <row r="505" spans="1:17">
      <c r="A505" t="s">
        <v>390</v>
      </c>
      <c r="B505" t="s">
        <v>1153</v>
      </c>
      <c r="C505" t="str">
        <f>VLOOKUP(A505,Districts!A:I,9,FALSE)</f>
        <v>Presidio School</v>
      </c>
      <c r="D505" t="str">
        <f>VLOOKUP(A505,Districts!A:P,16,FALSE)</f>
        <v>LB6YDM6DB6J9</v>
      </c>
      <c r="F505" s="1">
        <v>45200</v>
      </c>
      <c r="G505" t="s">
        <v>529</v>
      </c>
      <c r="H505" t="s">
        <v>530</v>
      </c>
      <c r="I505" s="59">
        <f>_xlfn.IFNA(VLOOKUP(A505,'619'!D:F,3,FALSE),0)</f>
        <v>458.05</v>
      </c>
      <c r="J505" s="59">
        <f>_xlfn.IFNA(VLOOKUP(A505,'619'!D:Q,14,FALSE),0)</f>
        <v>0</v>
      </c>
      <c r="K505" s="59">
        <f>_xlfn.IFNA(VLOOKUP(A505,'619'!D:Q,14,FALSE),0)</f>
        <v>0</v>
      </c>
      <c r="O505" t="s">
        <v>531</v>
      </c>
      <c r="P505" t="str">
        <f>_xlfn.IFNA(VLOOKUP(A505,IndirectCost!B:L,11,FALSE),"")</f>
        <v/>
      </c>
      <c r="Q505">
        <f t="shared" si="7"/>
        <v>0</v>
      </c>
    </row>
    <row r="506" spans="1:17">
      <c r="A506" t="s">
        <v>391</v>
      </c>
      <c r="B506" t="s">
        <v>1154</v>
      </c>
      <c r="C506" t="str">
        <f>VLOOKUP(A506,Districts!A:I,9,FALSE)</f>
        <v>Quartzsite Elementary School District 4</v>
      </c>
      <c r="D506" t="str">
        <f>VLOOKUP(A506,Districts!A:P,16,FALSE)</f>
        <v>G6MUW5NUSUT4</v>
      </c>
      <c r="F506" s="1">
        <v>45200</v>
      </c>
      <c r="G506" t="s">
        <v>529</v>
      </c>
      <c r="H506" t="s">
        <v>530</v>
      </c>
      <c r="I506" s="59">
        <f>_xlfn.IFNA(VLOOKUP(A506,'619'!D:F,3,FALSE),0)</f>
        <v>804.41</v>
      </c>
      <c r="J506" s="59">
        <f>_xlfn.IFNA(VLOOKUP(A506,'619'!D:Q,14,FALSE),0)</f>
        <v>1564.06</v>
      </c>
      <c r="K506" s="59">
        <f>_xlfn.IFNA(VLOOKUP(A506,'619'!D:Q,14,FALSE),0)</f>
        <v>1564.06</v>
      </c>
      <c r="O506" t="s">
        <v>531</v>
      </c>
      <c r="P506">
        <f>_xlfn.IFNA(VLOOKUP(A506,IndirectCost!B:L,11,FALSE),"")</f>
        <v>0</v>
      </c>
      <c r="Q506">
        <f t="shared" si="7"/>
        <v>0</v>
      </c>
    </row>
    <row r="507" spans="1:17">
      <c r="A507" t="s">
        <v>392</v>
      </c>
      <c r="B507" t="s">
        <v>1155</v>
      </c>
      <c r="C507" t="str">
        <f>VLOOKUP(A507,Districts!A:I,9,FALSE)</f>
        <v>Queen Creek Unified School District #95</v>
      </c>
      <c r="D507" t="str">
        <f>VLOOKUP(A507,Districts!A:P,16,FALSE)</f>
        <v>V9NPJQUELGB7</v>
      </c>
      <c r="F507" s="1">
        <v>45200</v>
      </c>
      <c r="G507" t="s">
        <v>529</v>
      </c>
      <c r="H507" t="s">
        <v>530</v>
      </c>
      <c r="I507" s="59">
        <f>_xlfn.IFNA(VLOOKUP(A507,'619'!D:F,3,FALSE),0)</f>
        <v>16535.240000000002</v>
      </c>
      <c r="J507" s="59">
        <f>_xlfn.IFNA(VLOOKUP(A507,'619'!D:Q,14,FALSE),0)</f>
        <v>19485.09</v>
      </c>
      <c r="K507" s="59">
        <f>_xlfn.IFNA(VLOOKUP(A507,'619'!D:Q,14,FALSE),0)</f>
        <v>19485.09</v>
      </c>
      <c r="O507" t="s">
        <v>531</v>
      </c>
      <c r="P507">
        <f>_xlfn.IFNA(VLOOKUP(A507,IndirectCost!B:L,11,FALSE),"")</f>
        <v>8</v>
      </c>
      <c r="Q507">
        <f t="shared" si="7"/>
        <v>0.08</v>
      </c>
    </row>
    <row r="508" spans="1:17">
      <c r="A508" t="s">
        <v>393</v>
      </c>
      <c r="B508" t="s">
        <v>1156</v>
      </c>
      <c r="C508" t="str">
        <f>VLOOKUP(A508,Districts!A:I,9,FALSE)</f>
        <v>Ray Unified School District 3</v>
      </c>
      <c r="D508" t="str">
        <f>VLOOKUP(A508,Districts!A:P,16,FALSE)</f>
        <v>SJKWHFR8LCN1</v>
      </c>
      <c r="F508" s="1">
        <v>45200</v>
      </c>
      <c r="G508" t="s">
        <v>529</v>
      </c>
      <c r="H508" t="s">
        <v>530</v>
      </c>
      <c r="I508" s="59">
        <f>_xlfn.IFNA(VLOOKUP(A508,'619'!D:F,3,FALSE),0)</f>
        <v>1662.01</v>
      </c>
      <c r="J508" s="59">
        <f>_xlfn.IFNA(VLOOKUP(A508,'619'!D:Q,14,FALSE),0)</f>
        <v>3263.32</v>
      </c>
      <c r="K508" s="59">
        <f>_xlfn.IFNA(VLOOKUP(A508,'619'!D:Q,14,FALSE),0)</f>
        <v>3263.32</v>
      </c>
      <c r="O508" t="s">
        <v>531</v>
      </c>
      <c r="P508">
        <f>_xlfn.IFNA(VLOOKUP(A508,IndirectCost!B:L,11,FALSE),"")</f>
        <v>8</v>
      </c>
      <c r="Q508">
        <f t="shared" si="7"/>
        <v>0.08</v>
      </c>
    </row>
    <row r="509" spans="1:17">
      <c r="A509" t="s">
        <v>394</v>
      </c>
      <c r="B509" t="s">
        <v>1157</v>
      </c>
      <c r="C509" t="str">
        <f>VLOOKUP(A509,Districts!A:I,9,FALSE)</f>
        <v>Red Mesa Unified School District No. 27</v>
      </c>
      <c r="D509" t="str">
        <f>VLOOKUP(A509,Districts!A:P,16,FALSE)</f>
        <v>KBHJQL7WAKS5</v>
      </c>
      <c r="F509" s="1">
        <v>45200</v>
      </c>
      <c r="G509" t="s">
        <v>529</v>
      </c>
      <c r="H509" t="s">
        <v>530</v>
      </c>
      <c r="I509" s="59">
        <f>_xlfn.IFNA(VLOOKUP(A509,'619'!D:F,3,FALSE),0)</f>
        <v>6300.79</v>
      </c>
      <c r="J509" s="59">
        <f>_xlfn.IFNA(VLOOKUP(A509,'619'!D:Q,14,FALSE),0)</f>
        <v>12443.97</v>
      </c>
      <c r="K509" s="59">
        <f>_xlfn.IFNA(VLOOKUP(A509,'619'!D:Q,14,FALSE),0)</f>
        <v>12443.97</v>
      </c>
      <c r="O509" t="s">
        <v>531</v>
      </c>
      <c r="P509">
        <f>_xlfn.IFNA(VLOOKUP(A509,IndirectCost!B:L,11,FALSE),"")</f>
        <v>8</v>
      </c>
      <c r="Q509">
        <f t="shared" si="7"/>
        <v>0.08</v>
      </c>
    </row>
    <row r="510" spans="1:17">
      <c r="A510" t="s">
        <v>395</v>
      </c>
      <c r="B510" t="s">
        <v>1158</v>
      </c>
      <c r="C510" t="str">
        <f>VLOOKUP(A510,Districts!A:I,9,FALSE)</f>
        <v>RED ROCK ELEMENTARY SCHOOL DISTRICT</v>
      </c>
      <c r="D510" t="str">
        <f>VLOOKUP(A510,Districts!A:P,16,FALSE)</f>
        <v>F45SUKWBWES1</v>
      </c>
      <c r="F510" s="1">
        <v>45200</v>
      </c>
      <c r="G510" t="s">
        <v>529</v>
      </c>
      <c r="H510" t="s">
        <v>530</v>
      </c>
      <c r="I510" s="59">
        <f>_xlfn.IFNA(VLOOKUP(A510,'619'!D:F,3,FALSE),0)</f>
        <v>1184.05</v>
      </c>
      <c r="J510" s="59">
        <f>_xlfn.IFNA(VLOOKUP(A510,'619'!D:Q,14,FALSE),0)</f>
        <v>1745.33</v>
      </c>
      <c r="K510" s="59">
        <f>_xlfn.IFNA(VLOOKUP(A510,'619'!D:Q,14,FALSE),0)</f>
        <v>1745.33</v>
      </c>
      <c r="O510" t="s">
        <v>531</v>
      </c>
      <c r="P510">
        <f>_xlfn.IFNA(VLOOKUP(A510,IndirectCost!B:L,11,FALSE),"")</f>
        <v>8</v>
      </c>
      <c r="Q510">
        <f t="shared" si="7"/>
        <v>0.08</v>
      </c>
    </row>
    <row r="511" spans="1:17">
      <c r="A511" t="s">
        <v>396</v>
      </c>
      <c r="B511" t="s">
        <v>1159</v>
      </c>
      <c r="C511" t="str">
        <f>VLOOKUP(A511,Districts!A:I,9,FALSE)</f>
        <v>Reid Traditional Schools Painted Rock Academy Inc</v>
      </c>
      <c r="D511" t="str">
        <f>VLOOKUP(A511,Districts!A:P,16,FALSE)</f>
        <v>H9DRVXWC2MT4</v>
      </c>
      <c r="F511" s="1">
        <v>45200</v>
      </c>
      <c r="G511" t="s">
        <v>529</v>
      </c>
      <c r="H511" t="s">
        <v>530</v>
      </c>
      <c r="I511" s="59">
        <f>_xlfn.IFNA(VLOOKUP(A511,'619'!D:F,3,FALSE),0)</f>
        <v>531.5</v>
      </c>
      <c r="J511" s="59">
        <f>_xlfn.IFNA(VLOOKUP(A511,'619'!D:Q,14,FALSE),0)</f>
        <v>0</v>
      </c>
      <c r="K511" s="59">
        <f>_xlfn.IFNA(VLOOKUP(A511,'619'!D:Q,14,FALSE),0)</f>
        <v>0</v>
      </c>
      <c r="O511" t="s">
        <v>531</v>
      </c>
      <c r="P511" t="str">
        <f>_xlfn.IFNA(VLOOKUP(A511,IndirectCost!B:L,11,FALSE),"")</f>
        <v/>
      </c>
      <c r="Q511">
        <f t="shared" si="7"/>
        <v>0</v>
      </c>
    </row>
    <row r="512" spans="1:17">
      <c r="A512" t="s">
        <v>397</v>
      </c>
      <c r="B512" t="s">
        <v>1160</v>
      </c>
      <c r="C512" t="str">
        <f>VLOOKUP(A512,Districts!A:I,9,FALSE)</f>
        <v>VALLEY ACADEMY, INC.</v>
      </c>
      <c r="D512" t="str">
        <f>VLOOKUP(A512,Districts!A:P,16,FALSE)</f>
        <v>K2QYCERJMFV9</v>
      </c>
      <c r="F512" s="1">
        <v>45200</v>
      </c>
      <c r="G512" t="s">
        <v>529</v>
      </c>
      <c r="H512" t="s">
        <v>530</v>
      </c>
      <c r="I512" s="59">
        <f>_xlfn.IFNA(VLOOKUP(A512,'619'!D:F,3,FALSE),0)</f>
        <v>971.39</v>
      </c>
      <c r="J512" s="59">
        <f>_xlfn.IFNA(VLOOKUP(A512,'619'!D:Q,14,FALSE),0)</f>
        <v>0</v>
      </c>
      <c r="K512" s="59">
        <f>_xlfn.IFNA(VLOOKUP(A512,'619'!D:Q,14,FALSE),0)</f>
        <v>0</v>
      </c>
      <c r="O512" t="s">
        <v>531</v>
      </c>
      <c r="P512" t="str">
        <f>_xlfn.IFNA(VLOOKUP(A512,IndirectCost!B:L,11,FALSE),"")</f>
        <v/>
      </c>
      <c r="Q512">
        <f t="shared" si="7"/>
        <v>0</v>
      </c>
    </row>
    <row r="513" spans="1:17">
      <c r="A513" t="s">
        <v>398</v>
      </c>
      <c r="B513" t="s">
        <v>1161</v>
      </c>
      <c r="C513" t="str">
        <f>VLOOKUP(A513,Districts!A:I,9,FALSE)</f>
        <v>Research Based Education Corportaion</v>
      </c>
      <c r="D513" t="str">
        <f>VLOOKUP(A513,Districts!A:P,16,FALSE)</f>
        <v>DTMWFX7JMCZ1</v>
      </c>
      <c r="F513" s="1">
        <v>45200</v>
      </c>
      <c r="G513" t="s">
        <v>529</v>
      </c>
      <c r="H513" t="s">
        <v>530</v>
      </c>
      <c r="I513" s="59">
        <f>_xlfn.IFNA(VLOOKUP(A513,'619'!D:F,3,FALSE),0)</f>
        <v>536.61</v>
      </c>
      <c r="J513" s="59">
        <f>_xlfn.IFNA(VLOOKUP(A513,'619'!D:Q,14,FALSE),0)</f>
        <v>0</v>
      </c>
      <c r="K513" s="59">
        <f>_xlfn.IFNA(VLOOKUP(A513,'619'!D:Q,14,FALSE),0)</f>
        <v>0</v>
      </c>
      <c r="O513" t="s">
        <v>531</v>
      </c>
      <c r="P513" t="str">
        <f>_xlfn.IFNA(VLOOKUP(A513,IndirectCost!B:L,11,FALSE),"")</f>
        <v/>
      </c>
      <c r="Q513">
        <f t="shared" si="7"/>
        <v>0</v>
      </c>
    </row>
    <row r="514" spans="1:17">
      <c r="A514" t="s">
        <v>399</v>
      </c>
      <c r="B514" t="s">
        <v>1162</v>
      </c>
      <c r="C514" t="str">
        <f>VLOOKUP(A514,Districts!A:I,9,FALSE)</f>
        <v>Ridgeline Academy, Inc.</v>
      </c>
      <c r="D514" t="str">
        <f>VLOOKUP(A514,Districts!A:P,16,FALSE)</f>
        <v>W3MDTY4J3D75</v>
      </c>
      <c r="F514" s="1">
        <v>45200</v>
      </c>
      <c r="G514" t="s">
        <v>529</v>
      </c>
      <c r="H514" t="s">
        <v>530</v>
      </c>
      <c r="I514" s="59">
        <f>_xlfn.IFNA(VLOOKUP(A514,'619'!D:F,3,FALSE),0)</f>
        <v>1011.28</v>
      </c>
      <c r="J514" s="59">
        <f>_xlfn.IFNA(VLOOKUP(A514,'619'!D:Q,14,FALSE),0)</f>
        <v>1011.28</v>
      </c>
      <c r="K514" s="59">
        <f>_xlfn.IFNA(VLOOKUP(A514,'619'!D:Q,14,FALSE),0)</f>
        <v>1011.28</v>
      </c>
      <c r="O514" t="s">
        <v>531</v>
      </c>
      <c r="P514" t="str">
        <f>_xlfn.IFNA(VLOOKUP(A514,IndirectCost!B:L,11,FALSE),"")</f>
        <v/>
      </c>
      <c r="Q514">
        <f t="shared" si="7"/>
        <v>0</v>
      </c>
    </row>
    <row r="515" spans="1:17">
      <c r="A515" t="s">
        <v>400</v>
      </c>
      <c r="B515" t="s">
        <v>1163</v>
      </c>
      <c r="C515" t="str">
        <f>VLOOKUP(A515,Districts!A:I,9,FALSE)</f>
        <v>Riverside School District #2</v>
      </c>
      <c r="D515" t="str">
        <f>VLOOKUP(A515,Districts!A:P,16,FALSE)</f>
        <v>U3NFPCUK2WA8</v>
      </c>
      <c r="F515" s="1">
        <v>45200</v>
      </c>
      <c r="G515" t="s">
        <v>529</v>
      </c>
      <c r="H515" t="s">
        <v>530</v>
      </c>
      <c r="I515" s="59">
        <f>_xlfn.IFNA(VLOOKUP(A515,'619'!D:F,3,FALSE),0)</f>
        <v>2339.5700000000002</v>
      </c>
      <c r="J515" s="59">
        <f>_xlfn.IFNA(VLOOKUP(A515,'619'!D:Q,14,FALSE),0)</f>
        <v>2382.46</v>
      </c>
      <c r="K515" s="59">
        <f>_xlfn.IFNA(VLOOKUP(A515,'619'!D:Q,14,FALSE),0)</f>
        <v>2382.46</v>
      </c>
      <c r="O515" t="s">
        <v>531</v>
      </c>
      <c r="P515">
        <f>_xlfn.IFNA(VLOOKUP(A515,IndirectCost!B:L,11,FALSE),"")</f>
        <v>8</v>
      </c>
      <c r="Q515">
        <f t="shared" si="7"/>
        <v>0.08</v>
      </c>
    </row>
    <row r="516" spans="1:17">
      <c r="A516" t="s">
        <v>401</v>
      </c>
      <c r="B516" t="s">
        <v>1164</v>
      </c>
      <c r="C516" t="str">
        <f>VLOOKUP(A516,Districts!A:I,9,FALSE)</f>
        <v>Roosevelt School District</v>
      </c>
      <c r="D516" t="str">
        <f>VLOOKUP(A516,Districts!A:P,16,FALSE)</f>
        <v>FD6CBP5CTYR5</v>
      </c>
      <c r="F516" s="1">
        <v>45200</v>
      </c>
      <c r="G516" t="s">
        <v>529</v>
      </c>
      <c r="H516" t="s">
        <v>530</v>
      </c>
      <c r="I516" s="59">
        <f>_xlfn.IFNA(VLOOKUP(A516,'619'!D:F,3,FALSE),0)</f>
        <v>37796.06</v>
      </c>
      <c r="J516" s="59">
        <f>_xlfn.IFNA(VLOOKUP(A516,'619'!D:Q,14,FALSE),0)</f>
        <v>57975.839999999997</v>
      </c>
      <c r="K516" s="59">
        <f>_xlfn.IFNA(VLOOKUP(A516,'619'!D:Q,14,FALSE),0)</f>
        <v>57975.839999999997</v>
      </c>
      <c r="O516" t="s">
        <v>531</v>
      </c>
      <c r="P516">
        <f>_xlfn.IFNA(VLOOKUP(A516,IndirectCost!B:L,11,FALSE),"")</f>
        <v>0</v>
      </c>
      <c r="Q516">
        <f t="shared" ref="Q516:Q579" si="8">IFERROR(P516/100,0)</f>
        <v>0</v>
      </c>
    </row>
    <row r="517" spans="1:17">
      <c r="A517" t="s">
        <v>402</v>
      </c>
      <c r="B517" t="s">
        <v>1165</v>
      </c>
      <c r="C517" t="str">
        <f>VLOOKUP(A517,Districts!A:I,9,FALSE)</f>
        <v>Roosevelt Preparatory Academy</v>
      </c>
      <c r="D517" t="str">
        <f>VLOOKUP(A517,Districts!A:P,16,FALSE)</f>
        <v>P8MELM2L9LB8</v>
      </c>
      <c r="F517" s="1">
        <v>45200</v>
      </c>
      <c r="G517" t="s">
        <v>529</v>
      </c>
      <c r="H517" t="s">
        <v>530</v>
      </c>
      <c r="I517" s="59">
        <f>_xlfn.IFNA(VLOOKUP(A517,'619'!D:F,3,FALSE),0)</f>
        <v>427.41</v>
      </c>
      <c r="J517" s="59">
        <f>_xlfn.IFNA(VLOOKUP(A517,'619'!D:Q,14,FALSE),0)</f>
        <v>0</v>
      </c>
      <c r="K517" s="59">
        <f>_xlfn.IFNA(VLOOKUP(A517,'619'!D:Q,14,FALSE),0)</f>
        <v>0</v>
      </c>
      <c r="O517" t="s">
        <v>531</v>
      </c>
      <c r="P517">
        <f>_xlfn.IFNA(VLOOKUP(A517,IndirectCost!B:L,11,FALSE),"")</f>
        <v>8</v>
      </c>
      <c r="Q517">
        <f t="shared" si="8"/>
        <v>0.08</v>
      </c>
    </row>
    <row r="518" spans="1:17">
      <c r="A518" t="s">
        <v>403</v>
      </c>
      <c r="B518" t="s">
        <v>1166</v>
      </c>
      <c r="C518" t="str">
        <f>VLOOKUP(A518,Districts!A:I,9,FALSE)</f>
        <v>Rosefield Charter Elementary</v>
      </c>
      <c r="D518" t="str">
        <f>VLOOKUP(A518,Districts!A:P,16,FALSE)</f>
        <v>JR12W6R6JLF5</v>
      </c>
      <c r="F518" s="1">
        <v>45200</v>
      </c>
      <c r="G518" t="s">
        <v>529</v>
      </c>
      <c r="H518" t="s">
        <v>530</v>
      </c>
      <c r="I518" s="59">
        <f>_xlfn.IFNA(VLOOKUP(A518,'619'!D:F,3,FALSE),0)</f>
        <v>1088.21</v>
      </c>
      <c r="J518" s="59">
        <f>_xlfn.IFNA(VLOOKUP(A518,'619'!D:Q,14,FALSE),0)</f>
        <v>2538.08</v>
      </c>
      <c r="K518" s="59">
        <f>_xlfn.IFNA(VLOOKUP(A518,'619'!D:Q,14,FALSE),0)</f>
        <v>2538.08</v>
      </c>
      <c r="O518" t="s">
        <v>531</v>
      </c>
      <c r="P518" t="str">
        <f>_xlfn.IFNA(VLOOKUP(A518,IndirectCost!B:L,11,FALSE),"")</f>
        <v/>
      </c>
      <c r="Q518">
        <f t="shared" si="8"/>
        <v>0</v>
      </c>
    </row>
    <row r="519" spans="1:17">
      <c r="A519" t="s">
        <v>404</v>
      </c>
      <c r="B519" t="s">
        <v>1167</v>
      </c>
      <c r="C519" t="str">
        <f>VLOOKUP(A519,Districts!A:I,9,FALSE)</f>
        <v>Round Valley Unified School District #10</v>
      </c>
      <c r="D519" t="str">
        <f>VLOOKUP(A519,Districts!A:P,16,FALSE)</f>
        <v>MSX3HNGBX5R1</v>
      </c>
      <c r="F519" s="1">
        <v>45200</v>
      </c>
      <c r="G519" t="s">
        <v>529</v>
      </c>
      <c r="H519" t="s">
        <v>530</v>
      </c>
      <c r="I519" s="59">
        <f>_xlfn.IFNA(VLOOKUP(A519,'619'!D:F,3,FALSE),0)</f>
        <v>14003.26</v>
      </c>
      <c r="J519" s="59">
        <f>_xlfn.IFNA(VLOOKUP(A519,'619'!D:Q,14,FALSE),0)</f>
        <v>25198.639999999999</v>
      </c>
      <c r="K519" s="59">
        <f>_xlfn.IFNA(VLOOKUP(A519,'619'!D:Q,14,FALSE),0)</f>
        <v>25198.639999999999</v>
      </c>
      <c r="O519" t="s">
        <v>531</v>
      </c>
      <c r="P519">
        <f>_xlfn.IFNA(VLOOKUP(A519,IndirectCost!B:L,11,FALSE),"")</f>
        <v>0</v>
      </c>
      <c r="Q519">
        <f t="shared" si="8"/>
        <v>0</v>
      </c>
    </row>
    <row r="520" spans="1:17">
      <c r="A520" t="s">
        <v>405</v>
      </c>
      <c r="B520" t="s">
        <v>1168</v>
      </c>
      <c r="C520" t="str">
        <f>VLOOKUP(A520,Districts!A:I,9,FALSE)</f>
        <v>Sacaton Elementary School District</v>
      </c>
      <c r="D520" t="str">
        <f>VLOOKUP(A520,Districts!A:P,16,FALSE)</f>
        <v>FGH9YSJ58MN3</v>
      </c>
      <c r="F520" s="1">
        <v>45200</v>
      </c>
      <c r="G520" t="s">
        <v>529</v>
      </c>
      <c r="H520" t="s">
        <v>530</v>
      </c>
      <c r="I520" s="59">
        <f>_xlfn.IFNA(VLOOKUP(A520,'619'!D:F,3,FALSE),0)</f>
        <v>8794.2800000000007</v>
      </c>
      <c r="J520" s="59">
        <f>_xlfn.IFNA(VLOOKUP(A520,'619'!D:Q,14,FALSE),0)</f>
        <v>22356.2</v>
      </c>
      <c r="K520" s="59">
        <f>_xlfn.IFNA(VLOOKUP(A520,'619'!D:Q,14,FALSE),0)</f>
        <v>22356.2</v>
      </c>
      <c r="O520" t="s">
        <v>531</v>
      </c>
      <c r="P520">
        <f>_xlfn.IFNA(VLOOKUP(A520,IndirectCost!B:L,11,FALSE),"")</f>
        <v>8</v>
      </c>
      <c r="Q520">
        <f t="shared" si="8"/>
        <v>0.08</v>
      </c>
    </row>
    <row r="521" spans="1:17">
      <c r="A521" t="s">
        <v>406</v>
      </c>
      <c r="B521" t="s">
        <v>1169</v>
      </c>
      <c r="C521" t="str">
        <f>VLOOKUP(A521,Districts!A:I,9,FALSE)</f>
        <v>Saddle Mountain Unified School District</v>
      </c>
      <c r="D521" t="str">
        <f>VLOOKUP(A521,Districts!A:P,16,FALSE)</f>
        <v>TX2RENUK3ZY7</v>
      </c>
      <c r="F521" s="1">
        <v>45200</v>
      </c>
      <c r="G521" t="s">
        <v>529</v>
      </c>
      <c r="H521" t="s">
        <v>530</v>
      </c>
      <c r="I521" s="59">
        <f>_xlfn.IFNA(VLOOKUP(A521,'619'!D:F,3,FALSE),0)</f>
        <v>5687.11</v>
      </c>
      <c r="J521" s="59">
        <f>_xlfn.IFNA(VLOOKUP(A521,'619'!D:Q,14,FALSE),0)</f>
        <v>12489.7</v>
      </c>
      <c r="K521" s="59">
        <f>_xlfn.IFNA(VLOOKUP(A521,'619'!D:Q,14,FALSE),0)</f>
        <v>12489.7</v>
      </c>
      <c r="O521" t="s">
        <v>531</v>
      </c>
      <c r="P521">
        <f>_xlfn.IFNA(VLOOKUP(A521,IndirectCost!B:L,11,FALSE),"")</f>
        <v>8</v>
      </c>
      <c r="Q521">
        <f t="shared" si="8"/>
        <v>0.08</v>
      </c>
    </row>
    <row r="522" spans="1:17">
      <c r="A522" t="s">
        <v>407</v>
      </c>
      <c r="B522" t="s">
        <v>1170</v>
      </c>
      <c r="C522" t="str">
        <f>VLOOKUP(A522,Districts!A:I,9,FALSE)</f>
        <v>Safford Unified School District</v>
      </c>
      <c r="D522" t="str">
        <f>VLOOKUP(A522,Districts!A:P,16,FALSE)</f>
        <v>XDJMT3BJL8C4</v>
      </c>
      <c r="F522" s="1">
        <v>45200</v>
      </c>
      <c r="G522" t="s">
        <v>529</v>
      </c>
      <c r="H522" t="s">
        <v>530</v>
      </c>
      <c r="I522" s="59">
        <f>_xlfn.IFNA(VLOOKUP(A522,'619'!D:F,3,FALSE),0)</f>
        <v>20848.64</v>
      </c>
      <c r="J522" s="59">
        <f>_xlfn.IFNA(VLOOKUP(A522,'619'!D:Q,14,FALSE),0)</f>
        <v>20848.64</v>
      </c>
      <c r="K522" s="59">
        <f>_xlfn.IFNA(VLOOKUP(A522,'619'!D:Q,14,FALSE),0)</f>
        <v>20848.64</v>
      </c>
      <c r="O522" t="s">
        <v>531</v>
      </c>
      <c r="P522">
        <f>_xlfn.IFNA(VLOOKUP(A522,IndirectCost!B:L,11,FALSE),"")</f>
        <v>0</v>
      </c>
      <c r="Q522">
        <f t="shared" si="8"/>
        <v>0</v>
      </c>
    </row>
    <row r="523" spans="1:17">
      <c r="A523" t="s">
        <v>408</v>
      </c>
      <c r="B523" t="s">
        <v>1171</v>
      </c>
      <c r="C523" t="str">
        <f>VLOOKUP(A523,Districts!A:I,9,FALSE)</f>
        <v>Sage Academy Inc.</v>
      </c>
      <c r="D523" t="str">
        <f>VLOOKUP(A523,Districts!A:P,16,FALSE)</f>
        <v>FR9JPCLCY5K6</v>
      </c>
      <c r="F523" s="1">
        <v>45200</v>
      </c>
      <c r="G523" t="s">
        <v>529</v>
      </c>
      <c r="H523" t="s">
        <v>530</v>
      </c>
      <c r="I523" s="59">
        <f>_xlfn.IFNA(VLOOKUP(A523,'619'!D:F,3,FALSE),0)</f>
        <v>488.89</v>
      </c>
      <c r="J523" s="59">
        <f>_xlfn.IFNA(VLOOKUP(A523,'619'!D:Q,14,FALSE),0)</f>
        <v>488.89</v>
      </c>
      <c r="K523" s="59">
        <f>_xlfn.IFNA(VLOOKUP(A523,'619'!D:Q,14,FALSE),0)</f>
        <v>488.89</v>
      </c>
      <c r="O523" t="s">
        <v>531</v>
      </c>
      <c r="P523" t="str">
        <f>_xlfn.IFNA(VLOOKUP(A523,IndirectCost!B:L,11,FALSE),"")</f>
        <v/>
      </c>
      <c r="Q523">
        <f t="shared" si="8"/>
        <v>0</v>
      </c>
    </row>
    <row r="524" spans="1:17">
      <c r="A524" t="s">
        <v>409</v>
      </c>
      <c r="B524" t="s">
        <v>1172</v>
      </c>
      <c r="C524" t="str">
        <f>VLOOKUP(A524,Districts!A:I,9,FALSE)</f>
        <v>Sahuarita Unified School District #30</v>
      </c>
      <c r="D524" t="str">
        <f>VLOOKUP(A524,Districts!A:P,16,FALSE)</f>
        <v>L594MNCDBRN7</v>
      </c>
      <c r="F524" s="1">
        <v>45200</v>
      </c>
      <c r="G524" t="s">
        <v>529</v>
      </c>
      <c r="H524" t="s">
        <v>530</v>
      </c>
      <c r="I524" s="59">
        <f>_xlfn.IFNA(VLOOKUP(A524,'619'!D:F,3,FALSE),0)</f>
        <v>14640.39</v>
      </c>
      <c r="J524" s="59">
        <f>_xlfn.IFNA(VLOOKUP(A524,'619'!D:Q,14,FALSE),0)</f>
        <v>14640.39</v>
      </c>
      <c r="K524" s="59">
        <f>_xlfn.IFNA(VLOOKUP(A524,'619'!D:Q,14,FALSE),0)</f>
        <v>14640.39</v>
      </c>
      <c r="O524" t="s">
        <v>531</v>
      </c>
      <c r="P524">
        <f>_xlfn.IFNA(VLOOKUP(A524,IndirectCost!B:L,11,FALSE),"")</f>
        <v>5.08</v>
      </c>
      <c r="Q524">
        <f t="shared" si="8"/>
        <v>5.0799999999999998E-2</v>
      </c>
    </row>
    <row r="525" spans="1:17">
      <c r="A525" t="s">
        <v>410</v>
      </c>
      <c r="B525" t="s">
        <v>1173</v>
      </c>
      <c r="C525" t="str">
        <f>VLOOKUP(A525,Districts!A:I,9,FALSE)</f>
        <v>Salome Consolidated Elementary School District #30</v>
      </c>
      <c r="D525" t="str">
        <f>VLOOKUP(A525,Districts!A:P,16,FALSE)</f>
        <v>JQYHCKLMC4F7</v>
      </c>
      <c r="F525" s="1">
        <v>45200</v>
      </c>
      <c r="G525" t="s">
        <v>529</v>
      </c>
      <c r="H525" t="s">
        <v>530</v>
      </c>
      <c r="I525" s="59">
        <f>_xlfn.IFNA(VLOOKUP(A525,'619'!D:F,3,FALSE),0)</f>
        <v>3552.33</v>
      </c>
      <c r="J525" s="59">
        <f>_xlfn.IFNA(VLOOKUP(A525,'619'!D:Q,14,FALSE),0)</f>
        <v>7681.65</v>
      </c>
      <c r="K525" s="59">
        <f>_xlfn.IFNA(VLOOKUP(A525,'619'!D:Q,14,FALSE),0)</f>
        <v>7681.65</v>
      </c>
      <c r="O525" t="s">
        <v>531</v>
      </c>
      <c r="P525">
        <f>_xlfn.IFNA(VLOOKUP(A525,IndirectCost!B:L,11,FALSE),"")</f>
        <v>8</v>
      </c>
      <c r="Q525">
        <f t="shared" si="8"/>
        <v>0.08</v>
      </c>
    </row>
    <row r="526" spans="1:17">
      <c r="A526" t="s">
        <v>1174</v>
      </c>
      <c r="B526" t="s">
        <v>1175</v>
      </c>
      <c r="C526" t="str">
        <f>VLOOKUP(A526,Districts!A:I,9,FALSE)</f>
        <v>Salt River Pima-Maricopa Indian Community dba Salt River Pima-Maricopa Community Schools</v>
      </c>
      <c r="D526" t="str">
        <f>VLOOKUP(A526,Districts!A:P,16,FALSE)</f>
        <v>CRN4QL93AHR3</v>
      </c>
      <c r="F526" s="1">
        <v>45200</v>
      </c>
      <c r="G526" t="s">
        <v>529</v>
      </c>
      <c r="H526" t="s">
        <v>530</v>
      </c>
      <c r="I526" s="59">
        <f>_xlfn.IFNA(VLOOKUP(A526,'619'!D:F,3,FALSE),0)</f>
        <v>0</v>
      </c>
      <c r="J526" s="59">
        <f>_xlfn.IFNA(VLOOKUP(A526,'619'!D:Q,14,FALSE),0)</f>
        <v>0</v>
      </c>
      <c r="K526" s="59">
        <f>_xlfn.IFNA(VLOOKUP(A526,'619'!D:Q,14,FALSE),0)</f>
        <v>0</v>
      </c>
      <c r="O526" t="s">
        <v>531</v>
      </c>
      <c r="P526" t="str">
        <f>_xlfn.IFNA(VLOOKUP(A526,IndirectCost!B:L,11,FALSE),"")</f>
        <v/>
      </c>
      <c r="Q526">
        <f t="shared" si="8"/>
        <v>0</v>
      </c>
    </row>
    <row r="527" spans="1:17">
      <c r="A527" t="s">
        <v>411</v>
      </c>
      <c r="B527" t="s">
        <v>1176</v>
      </c>
      <c r="C527" t="str">
        <f>VLOOKUP(A527,Districts!A:I,9,FALSE)</f>
        <v>SAN CARLOS UNIFIED SCHOOL DISTRICT</v>
      </c>
      <c r="D527" t="str">
        <f>VLOOKUP(A527,Districts!A:P,16,FALSE)</f>
        <v>FFXXFLA94AB7</v>
      </c>
      <c r="F527" s="1">
        <v>45200</v>
      </c>
      <c r="G527" t="s">
        <v>529</v>
      </c>
      <c r="H527" t="s">
        <v>530</v>
      </c>
      <c r="I527" s="59">
        <f>_xlfn.IFNA(VLOOKUP(A527,'619'!D:F,3,FALSE),0)</f>
        <v>12269.47</v>
      </c>
      <c r="J527" s="59">
        <f>_xlfn.IFNA(VLOOKUP(A527,'619'!D:Q,14,FALSE),0)</f>
        <v>24322.93</v>
      </c>
      <c r="K527" s="59">
        <f>_xlfn.IFNA(VLOOKUP(A527,'619'!D:Q,14,FALSE),0)</f>
        <v>24322.93</v>
      </c>
      <c r="O527" t="s">
        <v>531</v>
      </c>
      <c r="P527">
        <f>_xlfn.IFNA(VLOOKUP(A527,IndirectCost!B:L,11,FALSE),"")</f>
        <v>7.31</v>
      </c>
      <c r="Q527">
        <f t="shared" si="8"/>
        <v>7.3099999999999998E-2</v>
      </c>
    </row>
    <row r="528" spans="1:17">
      <c r="A528" t="s">
        <v>412</v>
      </c>
      <c r="B528" t="s">
        <v>1177</v>
      </c>
      <c r="C528" t="str">
        <f>VLOOKUP(A528,Districts!A:I,9,FALSE)</f>
        <v>SAN FERNANDO SCHOOL DISTRICT</v>
      </c>
      <c r="D528" t="str">
        <f>VLOOKUP(A528,Districts!A:P,16,FALSE)</f>
        <v>DX5SS4CMA4W7</v>
      </c>
      <c r="F528" s="1">
        <v>45200</v>
      </c>
      <c r="G528" t="s">
        <v>529</v>
      </c>
      <c r="H528" t="s">
        <v>530</v>
      </c>
      <c r="I528" s="59">
        <f>_xlfn.IFNA(VLOOKUP(A528,'619'!D:F,3,FALSE),0)</f>
        <v>11.93</v>
      </c>
      <c r="J528" s="59">
        <f>_xlfn.IFNA(VLOOKUP(A528,'619'!D:Q,14,FALSE),0)</f>
        <v>20.76</v>
      </c>
      <c r="K528" s="59">
        <f>_xlfn.IFNA(VLOOKUP(A528,'619'!D:Q,14,FALSE),0)</f>
        <v>20.76</v>
      </c>
      <c r="O528" t="s">
        <v>531</v>
      </c>
      <c r="P528" t="str">
        <f>_xlfn.IFNA(VLOOKUP(A528,IndirectCost!B:L,11,FALSE),"")</f>
        <v/>
      </c>
      <c r="Q528">
        <f t="shared" si="8"/>
        <v>0</v>
      </c>
    </row>
    <row r="529" spans="1:17">
      <c r="A529" t="s">
        <v>413</v>
      </c>
      <c r="B529" t="s">
        <v>1178</v>
      </c>
      <c r="C529" t="str">
        <f>VLOOKUP(A529,Districts!A:I,9,FALSE)</f>
        <v>San Simon Unified School District 18</v>
      </c>
      <c r="D529" t="str">
        <f>VLOOKUP(A529,Districts!A:P,16,FALSE)</f>
        <v>N8RQQ5XFKFX9</v>
      </c>
      <c r="F529" s="1">
        <v>45200</v>
      </c>
      <c r="G529" t="s">
        <v>529</v>
      </c>
      <c r="H529" t="s">
        <v>530</v>
      </c>
      <c r="I529" s="59">
        <f>_xlfn.IFNA(VLOOKUP(A529,'619'!D:F,3,FALSE),0)</f>
        <v>394.46</v>
      </c>
      <c r="J529" s="59">
        <f>_xlfn.IFNA(VLOOKUP(A529,'619'!D:Q,14,FALSE),0)</f>
        <v>0</v>
      </c>
      <c r="K529" s="59">
        <f>_xlfn.IFNA(VLOOKUP(A529,'619'!D:Q,14,FALSE),0)</f>
        <v>0</v>
      </c>
      <c r="O529" t="s">
        <v>531</v>
      </c>
      <c r="P529" t="str">
        <f>_xlfn.IFNA(VLOOKUP(A529,IndirectCost!B:L,11,FALSE),"")</f>
        <v/>
      </c>
      <c r="Q529">
        <f t="shared" si="8"/>
        <v>0</v>
      </c>
    </row>
    <row r="530" spans="1:17">
      <c r="A530" t="s">
        <v>414</v>
      </c>
      <c r="B530" t="s">
        <v>1179</v>
      </c>
      <c r="C530" t="str">
        <f>VLOOKUP(A530,Districts!A:I,9,FALSE)</f>
        <v>San Tan Learning Center</v>
      </c>
      <c r="D530" t="str">
        <f>VLOOKUP(A530,Districts!A:P,16,FALSE)</f>
        <v>FXLFTG1L67B1</v>
      </c>
      <c r="F530" s="1">
        <v>45200</v>
      </c>
      <c r="G530" t="s">
        <v>529</v>
      </c>
      <c r="H530" t="s">
        <v>530</v>
      </c>
      <c r="I530" s="59">
        <f>_xlfn.IFNA(VLOOKUP(A530,'619'!D:F,3,FALSE),0)</f>
        <v>910.36</v>
      </c>
      <c r="J530" s="59">
        <f>_xlfn.IFNA(VLOOKUP(A530,'619'!D:Q,14,FALSE),0)</f>
        <v>910.36</v>
      </c>
      <c r="K530" s="59">
        <f>_xlfn.IFNA(VLOOKUP(A530,'619'!D:Q,14,FALSE),0)</f>
        <v>910.36</v>
      </c>
      <c r="O530" t="s">
        <v>531</v>
      </c>
      <c r="P530" t="str">
        <f>_xlfn.IFNA(VLOOKUP(A530,IndirectCost!B:L,11,FALSE),"")</f>
        <v/>
      </c>
      <c r="Q530">
        <f t="shared" si="8"/>
        <v>0</v>
      </c>
    </row>
    <row r="531" spans="1:17">
      <c r="A531" t="s">
        <v>415</v>
      </c>
      <c r="B531" t="s">
        <v>1180</v>
      </c>
      <c r="C531" t="str">
        <f>VLOOKUP(A531,Districts!A:I,9,FALSE)</f>
        <v>Sanders Unified School District No. 18</v>
      </c>
      <c r="D531" t="str">
        <f>VLOOKUP(A531,Districts!A:P,16,FALSE)</f>
        <v>MXSLB6SCUAR5</v>
      </c>
      <c r="F531" s="1">
        <v>45200</v>
      </c>
      <c r="G531" t="s">
        <v>529</v>
      </c>
      <c r="H531" t="s">
        <v>530</v>
      </c>
      <c r="I531" s="59">
        <f>_xlfn.IFNA(VLOOKUP(A531,'619'!D:F,3,FALSE),0)</f>
        <v>4675.29</v>
      </c>
      <c r="J531" s="59">
        <f>_xlfn.IFNA(VLOOKUP(A531,'619'!D:Q,14,FALSE),0)</f>
        <v>11618.42</v>
      </c>
      <c r="K531" s="59">
        <f>_xlfn.IFNA(VLOOKUP(A531,'619'!D:Q,14,FALSE),0)</f>
        <v>11618.42</v>
      </c>
      <c r="O531" t="s">
        <v>531</v>
      </c>
      <c r="P531">
        <f>_xlfn.IFNA(VLOOKUP(A531,IndirectCost!B:L,11,FALSE),"")</f>
        <v>5.33</v>
      </c>
      <c r="Q531">
        <f t="shared" si="8"/>
        <v>5.33E-2</v>
      </c>
    </row>
    <row r="532" spans="1:17">
      <c r="A532" t="s">
        <v>1181</v>
      </c>
      <c r="B532" t="s">
        <v>1182</v>
      </c>
      <c r="C532" t="str">
        <f>VLOOKUP(A532,Districts!A:I,9,FALSE)</f>
        <v>Santa Cruz County of Board of Supervisors</v>
      </c>
      <c r="D532" t="str">
        <f>VLOOKUP(A532,Districts!A:P,16,FALSE)</f>
        <v>UVLVR8CN2FM4</v>
      </c>
      <c r="F532" s="1">
        <v>45200</v>
      </c>
      <c r="G532" t="s">
        <v>529</v>
      </c>
      <c r="H532" t="s">
        <v>530</v>
      </c>
      <c r="I532" s="59">
        <f>_xlfn.IFNA(VLOOKUP(A532,'619'!D:F,3,FALSE),0)</f>
        <v>0</v>
      </c>
      <c r="J532" s="59">
        <f>_xlfn.IFNA(VLOOKUP(A532,'619'!D:Q,14,FALSE),0)</f>
        <v>0</v>
      </c>
      <c r="K532" s="59">
        <f>_xlfn.IFNA(VLOOKUP(A532,'619'!D:Q,14,FALSE),0)</f>
        <v>0</v>
      </c>
      <c r="O532" t="s">
        <v>531</v>
      </c>
      <c r="P532" t="str">
        <f>_xlfn.IFNA(VLOOKUP(A532,IndirectCost!B:L,11,FALSE),"")</f>
        <v/>
      </c>
      <c r="Q532">
        <f t="shared" si="8"/>
        <v>0</v>
      </c>
    </row>
    <row r="533" spans="1:17">
      <c r="A533" t="s">
        <v>416</v>
      </c>
      <c r="B533" t="s">
        <v>1183</v>
      </c>
      <c r="C533" t="str">
        <f>VLOOKUP(A533,Districts!A:I,9,FALSE)</f>
        <v>Santa Cruz Elementary School District #28</v>
      </c>
      <c r="D533" t="str">
        <f>VLOOKUP(A533,Districts!A:P,16,FALSE)</f>
        <v>K5GJFJH2UKC4</v>
      </c>
      <c r="F533" s="1">
        <v>45200</v>
      </c>
      <c r="G533" t="s">
        <v>529</v>
      </c>
      <c r="H533" t="s">
        <v>530</v>
      </c>
      <c r="I533" s="59">
        <f>_xlfn.IFNA(VLOOKUP(A533,'619'!D:F,3,FALSE),0)</f>
        <v>791.93</v>
      </c>
      <c r="J533" s="59">
        <f>_xlfn.IFNA(VLOOKUP(A533,'619'!D:Q,14,FALSE),0)</f>
        <v>791.93</v>
      </c>
      <c r="K533" s="59">
        <f>_xlfn.IFNA(VLOOKUP(A533,'619'!D:Q,14,FALSE),0)</f>
        <v>791.93</v>
      </c>
      <c r="O533" t="s">
        <v>531</v>
      </c>
      <c r="P533">
        <f>_xlfn.IFNA(VLOOKUP(A533,IndirectCost!B:L,11,FALSE),"")</f>
        <v>4.54</v>
      </c>
      <c r="Q533">
        <f t="shared" si="8"/>
        <v>4.5400000000000003E-2</v>
      </c>
    </row>
    <row r="534" spans="1:17">
      <c r="A534" t="s">
        <v>417</v>
      </c>
      <c r="B534" t="s">
        <v>1184</v>
      </c>
      <c r="C534" t="str">
        <f>VLOOKUP(A534,Districts!A:I,9,FALSE)</f>
        <v>Santa Cruz Valley Opportu</v>
      </c>
      <c r="D534" t="str">
        <f>VLOOKUP(A534,Districts!A:P,16,FALSE)</f>
        <v>K5L8RFMVLEN9</v>
      </c>
      <c r="F534" s="1">
        <v>45200</v>
      </c>
      <c r="G534" t="s">
        <v>529</v>
      </c>
      <c r="H534" t="s">
        <v>530</v>
      </c>
      <c r="I534" s="59">
        <f>_xlfn.IFNA(VLOOKUP(A534,'619'!D:F,3,FALSE),0)</f>
        <v>316.33999999999997</v>
      </c>
      <c r="J534" s="59">
        <f>_xlfn.IFNA(VLOOKUP(A534,'619'!D:Q,14,FALSE),0)</f>
        <v>316.33999999999997</v>
      </c>
      <c r="K534" s="59">
        <f>_xlfn.IFNA(VLOOKUP(A534,'619'!D:Q,14,FALSE),0)</f>
        <v>316.33999999999997</v>
      </c>
      <c r="O534" t="s">
        <v>531</v>
      </c>
      <c r="P534">
        <f>_xlfn.IFNA(VLOOKUP(A534,IndirectCost!B:L,11,FALSE),"")</f>
        <v>8</v>
      </c>
      <c r="Q534">
        <f t="shared" si="8"/>
        <v>0.08</v>
      </c>
    </row>
    <row r="535" spans="1:17">
      <c r="A535" t="s">
        <v>418</v>
      </c>
      <c r="B535" t="s">
        <v>1185</v>
      </c>
      <c r="C535" t="str">
        <f>VLOOKUP(A535,Districts!A:I,9,FALSE)</f>
        <v>Santa Cruz Valley Unified School District 35</v>
      </c>
      <c r="D535" t="str">
        <f>VLOOKUP(A535,Districts!A:P,16,FALSE)</f>
        <v>XCGQCHM32SE9</v>
      </c>
      <c r="F535" s="1">
        <v>45200</v>
      </c>
      <c r="G535" t="s">
        <v>529</v>
      </c>
      <c r="H535" t="s">
        <v>530</v>
      </c>
      <c r="I535" s="59">
        <f>_xlfn.IFNA(VLOOKUP(A535,'619'!D:F,3,FALSE),0)</f>
        <v>14775.06</v>
      </c>
      <c r="J535" s="59">
        <f>_xlfn.IFNA(VLOOKUP(A535,'619'!D:Q,14,FALSE),0)</f>
        <v>15167.17</v>
      </c>
      <c r="K535" s="59">
        <f>_xlfn.IFNA(VLOOKUP(A535,'619'!D:Q,14,FALSE),0)</f>
        <v>15167.17</v>
      </c>
      <c r="O535" t="s">
        <v>531</v>
      </c>
      <c r="P535">
        <f>_xlfn.IFNA(VLOOKUP(A535,IndirectCost!B:L,11,FALSE),"")</f>
        <v>3.5</v>
      </c>
      <c r="Q535">
        <f t="shared" si="8"/>
        <v>3.5000000000000003E-2</v>
      </c>
    </row>
    <row r="536" spans="1:17">
      <c r="A536" t="s">
        <v>1186</v>
      </c>
      <c r="B536" t="s">
        <v>1187</v>
      </c>
      <c r="C536" t="str">
        <f>VLOOKUP(A536,Districts!A:I,9,FALSE)</f>
        <v>Santa Cruz Valley Union High School District</v>
      </c>
      <c r="D536" t="str">
        <f>VLOOKUP(A536,Districts!A:P,16,FALSE)</f>
        <v>LZFNN2JG9V41</v>
      </c>
      <c r="F536" s="1">
        <v>45200</v>
      </c>
      <c r="G536" t="s">
        <v>529</v>
      </c>
      <c r="H536" t="s">
        <v>530</v>
      </c>
      <c r="I536" s="59">
        <f>_xlfn.IFNA(VLOOKUP(A536,'619'!D:F,3,FALSE),0)</f>
        <v>0</v>
      </c>
      <c r="J536" s="59">
        <f>_xlfn.IFNA(VLOOKUP(A536,'619'!D:Q,14,FALSE),0)</f>
        <v>0</v>
      </c>
      <c r="K536" s="59">
        <f>_xlfn.IFNA(VLOOKUP(A536,'619'!D:Q,14,FALSE),0)</f>
        <v>0</v>
      </c>
      <c r="O536" t="s">
        <v>531</v>
      </c>
      <c r="P536">
        <f>_xlfn.IFNA(VLOOKUP(A536,IndirectCost!B:L,11,FALSE),"")</f>
        <v>8</v>
      </c>
      <c r="Q536">
        <f t="shared" si="8"/>
        <v>0.08</v>
      </c>
    </row>
    <row r="537" spans="1:17">
      <c r="A537" t="s">
        <v>1188</v>
      </c>
      <c r="B537" t="s">
        <v>1189</v>
      </c>
      <c r="C537" t="str">
        <f>VLOOKUP(A537,Districts!A:I,9,FALSE)</f>
        <v>Satori</v>
      </c>
      <c r="D537" t="str">
        <f>VLOOKUP(A537,Districts!A:P,16,FALSE)</f>
        <v>HGEDB7D86JL3</v>
      </c>
      <c r="F537" s="1">
        <v>45200</v>
      </c>
      <c r="G537" t="s">
        <v>529</v>
      </c>
      <c r="H537" t="s">
        <v>530</v>
      </c>
      <c r="I537" s="59">
        <f>_xlfn.IFNA(VLOOKUP(A537,'619'!D:F,3,FALSE),0)</f>
        <v>0</v>
      </c>
      <c r="J537" s="59">
        <f>_xlfn.IFNA(VLOOKUP(A537,'619'!D:Q,14,FALSE),0)</f>
        <v>0</v>
      </c>
      <c r="K537" s="59">
        <f>_xlfn.IFNA(VLOOKUP(A537,'619'!D:Q,14,FALSE),0)</f>
        <v>0</v>
      </c>
      <c r="O537" t="s">
        <v>531</v>
      </c>
      <c r="P537" t="str">
        <f>_xlfn.IFNA(VLOOKUP(A537,IndirectCost!B:L,11,FALSE),"")</f>
        <v/>
      </c>
      <c r="Q537">
        <f t="shared" si="8"/>
        <v>0</v>
      </c>
    </row>
    <row r="538" spans="1:17">
      <c r="A538" t="s">
        <v>1190</v>
      </c>
      <c r="B538" t="s">
        <v>1191</v>
      </c>
      <c r="C538" t="str">
        <f>VLOOKUP(A538,Districts!A:I,9,FALSE)</f>
        <v>IntelliSchool Charter High School Chandler</v>
      </c>
      <c r="D538" t="str">
        <f>VLOOKUP(A538,Districts!A:P,16,FALSE)</f>
        <v>HDG6GTDKHLK4</v>
      </c>
      <c r="F538" s="1">
        <v>45200</v>
      </c>
      <c r="G538" t="s">
        <v>529</v>
      </c>
      <c r="H538" t="s">
        <v>530</v>
      </c>
      <c r="I538" s="59">
        <f>_xlfn.IFNA(VLOOKUP(A538,'619'!D:F,3,FALSE),0)</f>
        <v>0</v>
      </c>
      <c r="J538" s="59">
        <f>_xlfn.IFNA(VLOOKUP(A538,'619'!D:Q,14,FALSE),0)</f>
        <v>0</v>
      </c>
      <c r="K538" s="59">
        <f>_xlfn.IFNA(VLOOKUP(A538,'619'!D:Q,14,FALSE),0)</f>
        <v>0</v>
      </c>
      <c r="O538" t="s">
        <v>531</v>
      </c>
      <c r="P538" t="str">
        <f>_xlfn.IFNA(VLOOKUP(A538,IndirectCost!B:L,11,FALSE),"")</f>
        <v/>
      </c>
      <c r="Q538">
        <f t="shared" si="8"/>
        <v>0</v>
      </c>
    </row>
    <row r="539" spans="1:17">
      <c r="A539" t="s">
        <v>419</v>
      </c>
      <c r="B539" t="s">
        <v>1192</v>
      </c>
      <c r="C539" t="str">
        <f>VLOOKUP(A539,Districts!A:I,9,FALSE)</f>
        <v>Scholars Academy Sunnyslope</v>
      </c>
      <c r="D539" t="str">
        <f>VLOOKUP(A539,Districts!A:P,16,FALSE)</f>
        <v>CQXMUL8RSKD5</v>
      </c>
      <c r="F539" s="1">
        <v>45200</v>
      </c>
      <c r="G539" t="s">
        <v>529</v>
      </c>
      <c r="H539" t="s">
        <v>530</v>
      </c>
      <c r="I539" s="59">
        <f>_xlfn.IFNA(VLOOKUP(A539,'619'!D:F,3,FALSE),0)</f>
        <v>102.75</v>
      </c>
      <c r="J539" s="59">
        <f>_xlfn.IFNA(VLOOKUP(A539,'619'!D:Q,14,FALSE),0)</f>
        <v>0</v>
      </c>
      <c r="K539" s="59">
        <f>_xlfn.IFNA(VLOOKUP(A539,'619'!D:Q,14,FALSE),0)</f>
        <v>0</v>
      </c>
      <c r="O539" t="s">
        <v>531</v>
      </c>
      <c r="P539">
        <f>_xlfn.IFNA(VLOOKUP(A539,IndirectCost!B:L,11,FALSE),"")</f>
        <v>0</v>
      </c>
      <c r="Q539">
        <f t="shared" si="8"/>
        <v>0</v>
      </c>
    </row>
    <row r="540" spans="1:17">
      <c r="A540" t="s">
        <v>420</v>
      </c>
      <c r="B540" t="s">
        <v>1193</v>
      </c>
      <c r="C540" t="str">
        <f>VLOOKUP(A540,Districts!A:I,9,FALSE)</f>
        <v>Science Technology Engineering &amp; Math Arizona</v>
      </c>
      <c r="D540" t="str">
        <f>VLOOKUP(A540,Districts!A:P,16,FALSE)</f>
        <v>SATRZ3WMKS75</v>
      </c>
      <c r="F540" s="1">
        <v>45200</v>
      </c>
      <c r="G540" t="s">
        <v>529</v>
      </c>
      <c r="H540" t="s">
        <v>530</v>
      </c>
      <c r="I540" s="59">
        <f>_xlfn.IFNA(VLOOKUP(A540,'619'!D:F,3,FALSE),0)</f>
        <v>949.39</v>
      </c>
      <c r="J540" s="59">
        <f>_xlfn.IFNA(VLOOKUP(A540,'619'!D:Q,14,FALSE),0)</f>
        <v>949.39</v>
      </c>
      <c r="K540" s="59">
        <f>_xlfn.IFNA(VLOOKUP(A540,'619'!D:Q,14,FALSE),0)</f>
        <v>949.39</v>
      </c>
      <c r="O540" t="s">
        <v>531</v>
      </c>
      <c r="P540">
        <f>_xlfn.IFNA(VLOOKUP(A540,IndirectCost!B:L,11,FALSE),"")</f>
        <v>8</v>
      </c>
      <c r="Q540">
        <f t="shared" si="8"/>
        <v>0.08</v>
      </c>
    </row>
    <row r="541" spans="1:17">
      <c r="A541" t="s">
        <v>421</v>
      </c>
      <c r="B541" t="s">
        <v>1194</v>
      </c>
      <c r="C541" t="str">
        <f>VLOOKUP(A541,Districts!A:I,9,FALSE)</f>
        <v>Scottsdale Country Day School</v>
      </c>
      <c r="D541" t="str">
        <f>VLOOKUP(A541,Districts!A:P,16,FALSE)</f>
        <v>NLQ4E6M7L4Q5</v>
      </c>
      <c r="F541" s="1">
        <v>45200</v>
      </c>
      <c r="G541" t="s">
        <v>529</v>
      </c>
      <c r="H541" t="s">
        <v>530</v>
      </c>
      <c r="I541" s="59">
        <f>_xlfn.IFNA(VLOOKUP(A541,'619'!D:F,3,FALSE),0)</f>
        <v>40.840000000000003</v>
      </c>
      <c r="J541" s="59">
        <f>_xlfn.IFNA(VLOOKUP(A541,'619'!D:Q,14,FALSE),0)</f>
        <v>0</v>
      </c>
      <c r="K541" s="59">
        <f>_xlfn.IFNA(VLOOKUP(A541,'619'!D:Q,14,FALSE),0)</f>
        <v>0</v>
      </c>
      <c r="O541" t="s">
        <v>531</v>
      </c>
      <c r="P541">
        <f>_xlfn.IFNA(VLOOKUP(A541,IndirectCost!B:L,11,FALSE),"")</f>
        <v>8</v>
      </c>
      <c r="Q541">
        <f t="shared" si="8"/>
        <v>0.08</v>
      </c>
    </row>
    <row r="542" spans="1:17">
      <c r="A542" t="s">
        <v>1195</v>
      </c>
      <c r="B542" t="s">
        <v>1196</v>
      </c>
      <c r="C542" t="str">
        <f>VLOOKUP(A542,Districts!A:I,9,FALSE)</f>
        <v>Scottsdale Preparatory Academy</v>
      </c>
      <c r="D542" t="str">
        <f>VLOOKUP(A542,Districts!A:P,16,FALSE)</f>
        <v>JQ9DBRJUQNN5</v>
      </c>
      <c r="F542" s="1">
        <v>45200</v>
      </c>
      <c r="G542" t="s">
        <v>529</v>
      </c>
      <c r="H542" t="s">
        <v>530</v>
      </c>
      <c r="I542" s="59">
        <f>_xlfn.IFNA(VLOOKUP(A542,'619'!D:F,3,FALSE),0)</f>
        <v>0</v>
      </c>
      <c r="J542" s="59">
        <f>_xlfn.IFNA(VLOOKUP(A542,'619'!D:Q,14,FALSE),0)</f>
        <v>0</v>
      </c>
      <c r="K542" s="59">
        <f>_xlfn.IFNA(VLOOKUP(A542,'619'!D:Q,14,FALSE),0)</f>
        <v>0</v>
      </c>
      <c r="O542" t="s">
        <v>531</v>
      </c>
      <c r="P542">
        <f>_xlfn.IFNA(VLOOKUP(A542,IndirectCost!B:L,11,FALSE),"")</f>
        <v>8</v>
      </c>
      <c r="Q542">
        <f t="shared" si="8"/>
        <v>0.08</v>
      </c>
    </row>
    <row r="543" spans="1:17">
      <c r="A543" t="s">
        <v>422</v>
      </c>
      <c r="B543" t="s">
        <v>1197</v>
      </c>
      <c r="C543" t="str">
        <f>VLOOKUP(A543,Districts!A:I,9,FALSE)</f>
        <v>Scottsdale Unified School District 48</v>
      </c>
      <c r="D543" t="str">
        <f>VLOOKUP(A543,Districts!A:P,16,FALSE)</f>
        <v>XNKPKH4MYH54</v>
      </c>
      <c r="F543" s="1">
        <v>45200</v>
      </c>
      <c r="G543" t="s">
        <v>529</v>
      </c>
      <c r="H543" t="s">
        <v>530</v>
      </c>
      <c r="I543" s="59">
        <f>_xlfn.IFNA(VLOOKUP(A543,'619'!D:F,3,FALSE),0)</f>
        <v>92635.5</v>
      </c>
      <c r="J543" s="59">
        <f>_xlfn.IFNA(VLOOKUP(A543,'619'!D:Q,14,FALSE),0)</f>
        <v>92635.5</v>
      </c>
      <c r="K543" s="59">
        <f>_xlfn.IFNA(VLOOKUP(A543,'619'!D:Q,14,FALSE),0)</f>
        <v>92635.5</v>
      </c>
      <c r="O543" t="s">
        <v>531</v>
      </c>
      <c r="P543">
        <f>_xlfn.IFNA(VLOOKUP(A543,IndirectCost!B:L,11,FALSE),"")</f>
        <v>5.41</v>
      </c>
      <c r="Q543">
        <f t="shared" si="8"/>
        <v>5.4100000000000002E-2</v>
      </c>
    </row>
    <row r="544" spans="1:17">
      <c r="A544" t="s">
        <v>423</v>
      </c>
      <c r="B544" t="s">
        <v>1198</v>
      </c>
      <c r="C544" t="str">
        <f>VLOOKUP(A544,Districts!A:I,9,FALSE)</f>
        <v>Sedona Charter School</v>
      </c>
      <c r="D544" t="str">
        <f>VLOOKUP(A544,Districts!A:P,16,FALSE)</f>
        <v>HA89C4D7BCG5</v>
      </c>
      <c r="F544" s="1">
        <v>45200</v>
      </c>
      <c r="G544" t="s">
        <v>529</v>
      </c>
      <c r="H544" t="s">
        <v>530</v>
      </c>
      <c r="I544" s="59">
        <f>_xlfn.IFNA(VLOOKUP(A544,'619'!D:F,3,FALSE),0)</f>
        <v>802.05</v>
      </c>
      <c r="J544" s="59">
        <f>_xlfn.IFNA(VLOOKUP(A544,'619'!D:Q,14,FALSE),0)</f>
        <v>802.05</v>
      </c>
      <c r="K544" s="59">
        <f>_xlfn.IFNA(VLOOKUP(A544,'619'!D:Q,14,FALSE),0)</f>
        <v>802.05</v>
      </c>
      <c r="O544" t="s">
        <v>531</v>
      </c>
      <c r="P544" t="str">
        <f>_xlfn.IFNA(VLOOKUP(A544,IndirectCost!B:L,11,FALSE),"")</f>
        <v/>
      </c>
      <c r="Q544">
        <f t="shared" si="8"/>
        <v>0</v>
      </c>
    </row>
    <row r="545" spans="1:17">
      <c r="A545" t="s">
        <v>424</v>
      </c>
      <c r="B545" t="s">
        <v>1199</v>
      </c>
      <c r="C545" t="str">
        <f>VLOOKUP(A545,Districts!A:I,9,FALSE)</f>
        <v>Sedona-Oak Creek Joint USD 9</v>
      </c>
      <c r="D545" t="str">
        <f>VLOOKUP(A545,Districts!A:P,16,FALSE)</f>
        <v>LWLMD76S8KK8</v>
      </c>
      <c r="F545" s="1">
        <v>45200</v>
      </c>
      <c r="G545" t="s">
        <v>529</v>
      </c>
      <c r="H545" t="s">
        <v>530</v>
      </c>
      <c r="I545" s="59">
        <f>_xlfn.IFNA(VLOOKUP(A545,'619'!D:F,3,FALSE),0)</f>
        <v>5144.87</v>
      </c>
      <c r="J545" s="59">
        <f>_xlfn.IFNA(VLOOKUP(A545,'619'!D:Q,14,FALSE),0)</f>
        <v>8497.6200000000008</v>
      </c>
      <c r="K545" s="59">
        <f>_xlfn.IFNA(VLOOKUP(A545,'619'!D:Q,14,FALSE),0)</f>
        <v>8497.6200000000008</v>
      </c>
      <c r="O545" t="s">
        <v>531</v>
      </c>
      <c r="P545">
        <f>_xlfn.IFNA(VLOOKUP(A545,IndirectCost!B:L,11,FALSE),"")</f>
        <v>3.37</v>
      </c>
      <c r="Q545">
        <f t="shared" si="8"/>
        <v>3.3700000000000001E-2</v>
      </c>
    </row>
    <row r="546" spans="1:17">
      <c r="A546" t="s">
        <v>425</v>
      </c>
      <c r="B546" t="s">
        <v>1200</v>
      </c>
      <c r="C546" t="str">
        <f>VLOOKUP(A546,Districts!A:I,9,FALSE)</f>
        <v>Self Development Academy-Phoenix</v>
      </c>
      <c r="D546" t="str">
        <f>VLOOKUP(A546,Districts!A:P,16,FALSE)</f>
        <v>LCAHHLJQQSG5</v>
      </c>
      <c r="F546" s="1">
        <v>45200</v>
      </c>
      <c r="G546" t="s">
        <v>529</v>
      </c>
      <c r="H546" t="s">
        <v>530</v>
      </c>
      <c r="I546" s="59">
        <f>_xlfn.IFNA(VLOOKUP(A546,'619'!D:F,3,FALSE),0)</f>
        <v>481.75</v>
      </c>
      <c r="J546" s="59">
        <f>_xlfn.IFNA(VLOOKUP(A546,'619'!D:Q,14,FALSE),0)</f>
        <v>481.75</v>
      </c>
      <c r="K546" s="59">
        <f>_xlfn.IFNA(VLOOKUP(A546,'619'!D:Q,14,FALSE),0)</f>
        <v>481.75</v>
      </c>
      <c r="O546" t="s">
        <v>531</v>
      </c>
      <c r="P546" t="str">
        <f>_xlfn.IFNA(VLOOKUP(A546,IndirectCost!B:L,11,FALSE),"")</f>
        <v/>
      </c>
      <c r="Q546">
        <f t="shared" si="8"/>
        <v>0</v>
      </c>
    </row>
    <row r="547" spans="1:17">
      <c r="A547" t="s">
        <v>426</v>
      </c>
      <c r="B547" t="s">
        <v>1201</v>
      </c>
      <c r="C547" t="str">
        <f>VLOOKUP(A547,Districts!A:I,9,FALSE)</f>
        <v>SELIGMAN UNIFIED SCHOOL DISTRICT</v>
      </c>
      <c r="D547" t="str">
        <f>VLOOKUP(A547,Districts!A:P,16,FALSE)</f>
        <v>UU83ZALLS8K3</v>
      </c>
      <c r="F547" s="1">
        <v>45200</v>
      </c>
      <c r="G547" t="s">
        <v>529</v>
      </c>
      <c r="H547" t="s">
        <v>530</v>
      </c>
      <c r="I547" s="59">
        <f>_xlfn.IFNA(VLOOKUP(A547,'619'!D:F,3,FALSE),0)</f>
        <v>435.35</v>
      </c>
      <c r="J547" s="59">
        <f>_xlfn.IFNA(VLOOKUP(A547,'619'!D:Q,14,FALSE),0)</f>
        <v>0</v>
      </c>
      <c r="K547" s="59">
        <f>_xlfn.IFNA(VLOOKUP(A547,'619'!D:Q,14,FALSE),0)</f>
        <v>0</v>
      </c>
      <c r="O547" t="s">
        <v>531</v>
      </c>
      <c r="P547" t="str">
        <f>_xlfn.IFNA(VLOOKUP(A547,IndirectCost!B:L,11,FALSE),"")</f>
        <v/>
      </c>
      <c r="Q547">
        <f t="shared" si="8"/>
        <v>0</v>
      </c>
    </row>
    <row r="548" spans="1:17">
      <c r="A548" t="s">
        <v>427</v>
      </c>
      <c r="B548" t="s">
        <v>1202</v>
      </c>
      <c r="C548" t="str">
        <f>VLOOKUP(A548,Districts!A:I,9,FALSE)</f>
        <v>Sentinel Elementary Dist 71</v>
      </c>
      <c r="D548" t="str">
        <f>VLOOKUP(A548,Districts!A:P,16,FALSE)</f>
        <v>DTSZCFLXDG56</v>
      </c>
      <c r="F548" s="1">
        <v>45200</v>
      </c>
      <c r="G548" t="s">
        <v>529</v>
      </c>
      <c r="H548" t="s">
        <v>530</v>
      </c>
      <c r="I548" s="59">
        <f>_xlfn.IFNA(VLOOKUP(A548,'619'!D:F,3,FALSE),0)</f>
        <v>480.41</v>
      </c>
      <c r="J548" s="59">
        <f>_xlfn.IFNA(VLOOKUP(A548,'619'!D:Q,14,FALSE),0)</f>
        <v>0</v>
      </c>
      <c r="K548" s="59">
        <f>_xlfn.IFNA(VLOOKUP(A548,'619'!D:Q,14,FALSE),0)</f>
        <v>0</v>
      </c>
      <c r="O548" t="s">
        <v>531</v>
      </c>
      <c r="P548" t="str">
        <f>_xlfn.IFNA(VLOOKUP(A548,IndirectCost!B:L,11,FALSE),"")</f>
        <v/>
      </c>
      <c r="Q548">
        <f t="shared" si="8"/>
        <v>0</v>
      </c>
    </row>
    <row r="549" spans="1:17">
      <c r="A549" t="s">
        <v>1203</v>
      </c>
      <c r="B549" t="s">
        <v>1204</v>
      </c>
      <c r="C549" t="str">
        <f>VLOOKUP(A549,Districts!A:I,9,FALSE)</f>
        <v>Shonto Preparatory School District</v>
      </c>
      <c r="D549" t="str">
        <f>VLOOKUP(A549,Districts!A:P,16,FALSE)</f>
        <v>Q7ZLPTLML1L6</v>
      </c>
      <c r="F549" s="1">
        <v>45200</v>
      </c>
      <c r="G549" t="s">
        <v>529</v>
      </c>
      <c r="H549" t="s">
        <v>530</v>
      </c>
      <c r="I549" s="59">
        <f>_xlfn.IFNA(VLOOKUP(A549,'619'!D:F,3,FALSE),0)</f>
        <v>0</v>
      </c>
      <c r="J549" s="59">
        <f>_xlfn.IFNA(VLOOKUP(A549,'619'!D:Q,14,FALSE),0)</f>
        <v>0</v>
      </c>
      <c r="K549" s="59">
        <f>_xlfn.IFNA(VLOOKUP(A549,'619'!D:Q,14,FALSE),0)</f>
        <v>0</v>
      </c>
      <c r="O549" t="s">
        <v>531</v>
      </c>
      <c r="P549" t="str">
        <f>_xlfn.IFNA(VLOOKUP(A549,IndirectCost!B:L,11,FALSE),"")</f>
        <v/>
      </c>
      <c r="Q549">
        <f t="shared" si="8"/>
        <v>0</v>
      </c>
    </row>
    <row r="550" spans="1:17">
      <c r="A550" t="s">
        <v>428</v>
      </c>
      <c r="B550" t="s">
        <v>1205</v>
      </c>
      <c r="C550" t="str">
        <f>VLOOKUP(A550,Districts!A:I,9,FALSE)</f>
        <v>ShowLow Unified School Dist10</v>
      </c>
      <c r="D550" t="str">
        <f>VLOOKUP(A550,Districts!A:P,16,FALSE)</f>
        <v>L9JFKZSDG1G7</v>
      </c>
      <c r="F550" s="1">
        <v>45200</v>
      </c>
      <c r="G550" t="s">
        <v>529</v>
      </c>
      <c r="H550" t="s">
        <v>530</v>
      </c>
      <c r="I550" s="59">
        <f>_xlfn.IFNA(VLOOKUP(A550,'619'!D:F,3,FALSE),0)</f>
        <v>9989.4699999999993</v>
      </c>
      <c r="J550" s="59">
        <f>_xlfn.IFNA(VLOOKUP(A550,'619'!D:Q,14,FALSE),0)</f>
        <v>9989.4699999999993</v>
      </c>
      <c r="K550" s="59">
        <f>_xlfn.IFNA(VLOOKUP(A550,'619'!D:Q,14,FALSE),0)</f>
        <v>9989.4699999999993</v>
      </c>
      <c r="O550" t="s">
        <v>531</v>
      </c>
      <c r="P550">
        <f>_xlfn.IFNA(VLOOKUP(A550,IndirectCost!B:L,11,FALSE),"")</f>
        <v>0</v>
      </c>
      <c r="Q550">
        <f t="shared" si="8"/>
        <v>0</v>
      </c>
    </row>
    <row r="551" spans="1:17">
      <c r="A551" t="s">
        <v>429</v>
      </c>
      <c r="B551" t="s">
        <v>1206</v>
      </c>
      <c r="C551" t="str">
        <f>VLOOKUP(A551,Districts!A:I,9,FALSE)</f>
        <v>Sierra Vista Public Schools Unified District #68</v>
      </c>
      <c r="D551" t="str">
        <f>VLOOKUP(A551,Districts!A:P,16,FALSE)</f>
        <v>NRMHNL3RLLU5</v>
      </c>
      <c r="F551" s="1">
        <v>45200</v>
      </c>
      <c r="G551" t="s">
        <v>529</v>
      </c>
      <c r="H551" t="s">
        <v>530</v>
      </c>
      <c r="I551" s="59">
        <f>_xlfn.IFNA(VLOOKUP(A551,'619'!D:F,3,FALSE),0)</f>
        <v>30246.3</v>
      </c>
      <c r="J551" s="59">
        <f>_xlfn.IFNA(VLOOKUP(A551,'619'!D:Q,14,FALSE),0)</f>
        <v>47772.53</v>
      </c>
      <c r="K551" s="59">
        <f>_xlfn.IFNA(VLOOKUP(A551,'619'!D:Q,14,FALSE),0)</f>
        <v>47772.53</v>
      </c>
      <c r="O551" t="s">
        <v>531</v>
      </c>
      <c r="P551">
        <f>_xlfn.IFNA(VLOOKUP(A551,IndirectCost!B:L,11,FALSE),"")</f>
        <v>4.83</v>
      </c>
      <c r="Q551">
        <f t="shared" si="8"/>
        <v>4.8300000000000003E-2</v>
      </c>
    </row>
    <row r="552" spans="1:17">
      <c r="A552" t="s">
        <v>430</v>
      </c>
      <c r="B552" t="s">
        <v>1207</v>
      </c>
      <c r="C552" t="str">
        <f>VLOOKUP(A552,Districts!A:I,9,FALSE)</f>
        <v>Skull Valley School District 15</v>
      </c>
      <c r="D552" t="str">
        <f>VLOOKUP(A552,Districts!A:P,16,FALSE)</f>
        <v>LE26SBE9PPG6</v>
      </c>
      <c r="F552" s="1">
        <v>45200</v>
      </c>
      <c r="G552" t="s">
        <v>529</v>
      </c>
      <c r="H552" t="s">
        <v>530</v>
      </c>
      <c r="I552" s="59">
        <f>_xlfn.IFNA(VLOOKUP(A552,'619'!D:F,3,FALSE),0)</f>
        <v>307.64999999999998</v>
      </c>
      <c r="J552" s="59">
        <f>_xlfn.IFNA(VLOOKUP(A552,'619'!D:Q,14,FALSE),0)</f>
        <v>0</v>
      </c>
      <c r="K552" s="59">
        <f>_xlfn.IFNA(VLOOKUP(A552,'619'!D:Q,14,FALSE),0)</f>
        <v>0</v>
      </c>
      <c r="O552" t="s">
        <v>531</v>
      </c>
      <c r="P552" t="str">
        <f>_xlfn.IFNA(VLOOKUP(A552,IndirectCost!B:L,11,FALSE),"")</f>
        <v/>
      </c>
      <c r="Q552">
        <f t="shared" si="8"/>
        <v>0</v>
      </c>
    </row>
    <row r="553" spans="1:17">
      <c r="A553" t="s">
        <v>1208</v>
      </c>
      <c r="B553" t="s">
        <v>1209</v>
      </c>
      <c r="C553" t="str">
        <f>VLOOKUP(A553,Districts!A:I,9,FALSE)</f>
        <v>Skyline Gila River Schools, LLC</v>
      </c>
      <c r="D553" t="str">
        <f>VLOOKUP(A553,Districts!A:P,16,FALSE)</f>
        <v>FQK1L8B8PJG3</v>
      </c>
      <c r="F553" s="1">
        <v>45200</v>
      </c>
      <c r="G553" t="s">
        <v>529</v>
      </c>
      <c r="H553" t="s">
        <v>530</v>
      </c>
      <c r="I553" s="59">
        <f>_xlfn.IFNA(VLOOKUP(A553,'619'!D:F,3,FALSE),0)</f>
        <v>0</v>
      </c>
      <c r="J553" s="59">
        <f>_xlfn.IFNA(VLOOKUP(A553,'619'!D:Q,14,FALSE),0)</f>
        <v>0</v>
      </c>
      <c r="K553" s="59">
        <f>_xlfn.IFNA(VLOOKUP(A553,'619'!D:Q,14,FALSE),0)</f>
        <v>0</v>
      </c>
      <c r="O553" t="s">
        <v>531</v>
      </c>
      <c r="P553" t="str">
        <f>_xlfn.IFNA(VLOOKUP(A553,IndirectCost!B:L,11,FALSE),"")</f>
        <v/>
      </c>
      <c r="Q553">
        <f t="shared" si="8"/>
        <v>0</v>
      </c>
    </row>
    <row r="554" spans="1:17">
      <c r="A554" t="s">
        <v>1210</v>
      </c>
      <c r="B554" t="s">
        <v>1211</v>
      </c>
      <c r="C554" t="str">
        <f>VLOOKUP(A554,Districts!A:I,9,FALSE)</f>
        <v>Skyline Technical High School Inc</v>
      </c>
      <c r="D554" t="str">
        <f>VLOOKUP(A554,Districts!A:P,16,FALSE)</f>
        <v>GX9DFLJNNPJ3</v>
      </c>
      <c r="F554" s="1">
        <v>45200</v>
      </c>
      <c r="G554" t="s">
        <v>529</v>
      </c>
      <c r="H554" t="s">
        <v>530</v>
      </c>
      <c r="I554" s="59">
        <f>_xlfn.IFNA(VLOOKUP(A554,'619'!D:F,3,FALSE),0)</f>
        <v>0</v>
      </c>
      <c r="J554" s="59">
        <f>_xlfn.IFNA(VLOOKUP(A554,'619'!D:Q,14,FALSE),0)</f>
        <v>0</v>
      </c>
      <c r="K554" s="59">
        <f>_xlfn.IFNA(VLOOKUP(A554,'619'!D:Q,14,FALSE),0)</f>
        <v>0</v>
      </c>
      <c r="O554" t="s">
        <v>531</v>
      </c>
      <c r="P554" t="str">
        <f>_xlfn.IFNA(VLOOKUP(A554,IndirectCost!B:L,11,FALSE),"")</f>
        <v/>
      </c>
      <c r="Q554">
        <f t="shared" si="8"/>
        <v>0</v>
      </c>
    </row>
    <row r="555" spans="1:17">
      <c r="A555" t="s">
        <v>431</v>
      </c>
      <c r="B555" t="s">
        <v>1212</v>
      </c>
      <c r="C555" t="str">
        <f>VLOOKUP(A555,Districts!A:I,9,FALSE)</f>
        <v>Skyview School Inc.</v>
      </c>
      <c r="D555" t="str">
        <f>VLOOKUP(A555,Districts!A:P,16,FALSE)</f>
        <v>UXALMD7LBFV7</v>
      </c>
      <c r="F555" s="1">
        <v>45200</v>
      </c>
      <c r="G555" t="s">
        <v>529</v>
      </c>
      <c r="H555" t="s">
        <v>530</v>
      </c>
      <c r="I555" s="59">
        <f>_xlfn.IFNA(VLOOKUP(A555,'619'!D:F,3,FALSE),0)</f>
        <v>416.55</v>
      </c>
      <c r="J555" s="59">
        <f>_xlfn.IFNA(VLOOKUP(A555,'619'!D:Q,14,FALSE),0)</f>
        <v>0</v>
      </c>
      <c r="K555" s="59">
        <f>_xlfn.IFNA(VLOOKUP(A555,'619'!D:Q,14,FALSE),0)</f>
        <v>0</v>
      </c>
      <c r="O555" t="s">
        <v>531</v>
      </c>
      <c r="P555" t="str">
        <f>_xlfn.IFNA(VLOOKUP(A555,IndirectCost!B:L,11,FALSE),"")</f>
        <v/>
      </c>
      <c r="Q555">
        <f t="shared" si="8"/>
        <v>0</v>
      </c>
    </row>
    <row r="556" spans="1:17">
      <c r="A556" t="s">
        <v>432</v>
      </c>
      <c r="B556" t="s">
        <v>1213</v>
      </c>
      <c r="C556" t="str">
        <f>VLOOKUP(A556,Districts!A:I,9,FALSE)</f>
        <v>SLAM ARIZONA INC</v>
      </c>
      <c r="D556">
        <f>VLOOKUP(A556,Districts!A:P,16,FALSE)</f>
        <v>0</v>
      </c>
      <c r="F556" s="1">
        <v>45200</v>
      </c>
      <c r="G556" t="s">
        <v>529</v>
      </c>
      <c r="H556" t="s">
        <v>530</v>
      </c>
      <c r="I556" s="59">
        <f>_xlfn.IFNA(VLOOKUP(A556,'619'!D:F,3,FALSE),0)</f>
        <v>20.98</v>
      </c>
      <c r="J556" s="59">
        <f>_xlfn.IFNA(VLOOKUP(A556,'619'!D:Q,14,FALSE),0)</f>
        <v>0</v>
      </c>
      <c r="K556" s="59">
        <f>_xlfn.IFNA(VLOOKUP(A556,'619'!D:Q,14,FALSE),0)</f>
        <v>0</v>
      </c>
      <c r="O556" t="s">
        <v>531</v>
      </c>
      <c r="P556" t="str">
        <f>_xlfn.IFNA(VLOOKUP(A556,IndirectCost!B:L,11,FALSE),"")</f>
        <v/>
      </c>
      <c r="Q556">
        <f t="shared" si="8"/>
        <v>0</v>
      </c>
    </row>
    <row r="557" spans="1:17">
      <c r="A557" t="s">
        <v>433</v>
      </c>
      <c r="B557" t="s">
        <v>1214</v>
      </c>
      <c r="C557" t="str">
        <f>VLOOKUP(A557,Districts!A:I,9,FALSE)</f>
        <v>Snowflake Unified School District #5</v>
      </c>
      <c r="D557" t="str">
        <f>VLOOKUP(A557,Districts!A:P,16,FALSE)</f>
        <v>V6QTJJR29XL4</v>
      </c>
      <c r="F557" s="1">
        <v>45200</v>
      </c>
      <c r="G557" t="s">
        <v>529</v>
      </c>
      <c r="H557" t="s">
        <v>530</v>
      </c>
      <c r="I557" s="59">
        <f>_xlfn.IFNA(VLOOKUP(A557,'619'!D:F,3,FALSE),0)</f>
        <v>18897.830000000002</v>
      </c>
      <c r="J557" s="59">
        <f>_xlfn.IFNA(VLOOKUP(A557,'619'!D:Q,14,FALSE),0)</f>
        <v>18897.830000000002</v>
      </c>
      <c r="K557" s="59">
        <f>_xlfn.IFNA(VLOOKUP(A557,'619'!D:Q,14,FALSE),0)</f>
        <v>18897.830000000002</v>
      </c>
      <c r="O557" t="s">
        <v>531</v>
      </c>
      <c r="P557">
        <f>_xlfn.IFNA(VLOOKUP(A557,IndirectCost!B:L,11,FALSE),"")</f>
        <v>3.88</v>
      </c>
      <c r="Q557">
        <f t="shared" si="8"/>
        <v>3.8800000000000001E-2</v>
      </c>
    </row>
    <row r="558" spans="1:17">
      <c r="A558" t="s">
        <v>434</v>
      </c>
      <c r="B558" t="s">
        <v>1215</v>
      </c>
      <c r="C558" t="str">
        <f>VLOOKUP(A558,Districts!A:I,9,FALSE)</f>
        <v>Solomon Elementary School District 5</v>
      </c>
      <c r="D558" t="str">
        <f>VLOOKUP(A558,Districts!A:P,16,FALSE)</f>
        <v>CHEDLE2JG1C8</v>
      </c>
      <c r="F558" s="1">
        <v>45200</v>
      </c>
      <c r="G558" t="s">
        <v>529</v>
      </c>
      <c r="H558" t="s">
        <v>530</v>
      </c>
      <c r="I558" s="59">
        <f>_xlfn.IFNA(VLOOKUP(A558,'619'!D:F,3,FALSE),0)</f>
        <v>1931.17</v>
      </c>
      <c r="J558" s="59">
        <f>_xlfn.IFNA(VLOOKUP(A558,'619'!D:Q,14,FALSE),0)</f>
        <v>1931.17</v>
      </c>
      <c r="K558" s="59">
        <f>_xlfn.IFNA(VLOOKUP(A558,'619'!D:Q,14,FALSE),0)</f>
        <v>1931.17</v>
      </c>
      <c r="O558" t="s">
        <v>531</v>
      </c>
      <c r="P558">
        <f>_xlfn.IFNA(VLOOKUP(A558,IndirectCost!B:L,11,FALSE),"")</f>
        <v>8</v>
      </c>
      <c r="Q558">
        <f t="shared" si="8"/>
        <v>0.08</v>
      </c>
    </row>
    <row r="559" spans="1:17">
      <c r="A559" t="s">
        <v>435</v>
      </c>
      <c r="B559" t="s">
        <v>1216</v>
      </c>
      <c r="C559" t="str">
        <f>VLOOKUP(A559,Districts!A:I,9,FALSE)</f>
        <v>SOMERSET ACADEMY ARIZONA INC</v>
      </c>
      <c r="D559" t="str">
        <f>VLOOKUP(A559,Districts!A:P,16,FALSE)</f>
        <v>WYTSHJNAKVN8</v>
      </c>
      <c r="F559" s="1">
        <v>45200</v>
      </c>
      <c r="G559" t="s">
        <v>529</v>
      </c>
      <c r="H559" t="s">
        <v>530</v>
      </c>
      <c r="I559" s="59">
        <f>_xlfn.IFNA(VLOOKUP(A559,'619'!D:F,3,FALSE),0)</f>
        <v>223.06</v>
      </c>
      <c r="J559" s="59">
        <f>_xlfn.IFNA(VLOOKUP(A559,'619'!D:Q,14,FALSE),0)</f>
        <v>0</v>
      </c>
      <c r="K559" s="59">
        <f>_xlfn.IFNA(VLOOKUP(A559,'619'!D:Q,14,FALSE),0)</f>
        <v>0</v>
      </c>
      <c r="O559" t="s">
        <v>531</v>
      </c>
      <c r="P559" t="str">
        <f>_xlfn.IFNA(VLOOKUP(A559,IndirectCost!B:L,11,FALSE),"")</f>
        <v/>
      </c>
      <c r="Q559">
        <f t="shared" si="8"/>
        <v>0</v>
      </c>
    </row>
    <row r="560" spans="1:17">
      <c r="A560" t="s">
        <v>436</v>
      </c>
      <c r="B560" t="s">
        <v>1217</v>
      </c>
      <c r="C560" t="str">
        <f>VLOOKUP(A560,Districts!A:I,9,FALSE)</f>
        <v>Somerton School District No 11</v>
      </c>
      <c r="D560" t="str">
        <f>VLOOKUP(A560,Districts!A:P,16,FALSE)</f>
        <v>P815WSPQ4CK4</v>
      </c>
      <c r="F560" s="1">
        <v>45200</v>
      </c>
      <c r="G560" t="s">
        <v>529</v>
      </c>
      <c r="H560" t="s">
        <v>530</v>
      </c>
      <c r="I560" s="59">
        <f>_xlfn.IFNA(VLOOKUP(A560,'619'!D:F,3,FALSE),0)</f>
        <v>29833.38</v>
      </c>
      <c r="J560" s="59">
        <f>_xlfn.IFNA(VLOOKUP(A560,'619'!D:Q,14,FALSE),0)</f>
        <v>31579.360000000001</v>
      </c>
      <c r="K560" s="59">
        <f>_xlfn.IFNA(VLOOKUP(A560,'619'!D:Q,14,FALSE),0)</f>
        <v>31579.360000000001</v>
      </c>
      <c r="O560" t="s">
        <v>531</v>
      </c>
      <c r="P560">
        <f>_xlfn.IFNA(VLOOKUP(A560,IndirectCost!B:L,11,FALSE),"")</f>
        <v>6.18</v>
      </c>
      <c r="Q560">
        <f t="shared" si="8"/>
        <v>6.1799999999999994E-2</v>
      </c>
    </row>
    <row r="561" spans="1:17">
      <c r="A561" t="s">
        <v>437</v>
      </c>
      <c r="B561" t="s">
        <v>1218</v>
      </c>
      <c r="C561" t="str">
        <f>VLOOKUP(A561,Districts!A:I,9,FALSE)</f>
        <v>Sonoita Elementary School District #25</v>
      </c>
      <c r="D561" t="str">
        <f>VLOOKUP(A561,Districts!A:P,16,FALSE)</f>
        <v>QKTJTR7SR617</v>
      </c>
      <c r="F561" s="1">
        <v>45200</v>
      </c>
      <c r="G561" t="s">
        <v>529</v>
      </c>
      <c r="H561" t="s">
        <v>530</v>
      </c>
      <c r="I561" s="59">
        <f>_xlfn.IFNA(VLOOKUP(A561,'619'!D:F,3,FALSE),0)</f>
        <v>1491.78</v>
      </c>
      <c r="J561" s="59">
        <f>_xlfn.IFNA(VLOOKUP(A561,'619'!D:Q,14,FALSE),0)</f>
        <v>2480.36</v>
      </c>
      <c r="K561" s="59">
        <f>_xlfn.IFNA(VLOOKUP(A561,'619'!D:Q,14,FALSE),0)</f>
        <v>2480.36</v>
      </c>
      <c r="O561" t="s">
        <v>531</v>
      </c>
      <c r="P561">
        <f>_xlfn.IFNA(VLOOKUP(A561,IndirectCost!B:L,11,FALSE),"")</f>
        <v>8</v>
      </c>
      <c r="Q561">
        <f t="shared" si="8"/>
        <v>0.08</v>
      </c>
    </row>
    <row r="562" spans="1:17">
      <c r="A562" t="s">
        <v>438</v>
      </c>
      <c r="B562" t="s">
        <v>1219</v>
      </c>
      <c r="C562" t="str">
        <f>VLOOKUP(A562,Districts!A:I,9,FALSE)</f>
        <v>South Phoenix Academy, Inc.</v>
      </c>
      <c r="D562" t="str">
        <f>VLOOKUP(A562,Districts!A:P,16,FALSE)</f>
        <v>FQX1SG8CDQ33</v>
      </c>
      <c r="F562" s="1">
        <v>45200</v>
      </c>
      <c r="G562" t="s">
        <v>529</v>
      </c>
      <c r="H562" t="s">
        <v>530</v>
      </c>
      <c r="I562" s="59">
        <f>_xlfn.IFNA(VLOOKUP(A562,'619'!D:F,3,FALSE),0)</f>
        <v>485.76</v>
      </c>
      <c r="J562" s="59">
        <f>_xlfn.IFNA(VLOOKUP(A562,'619'!D:Q,14,FALSE),0)</f>
        <v>0</v>
      </c>
      <c r="K562" s="59">
        <f>_xlfn.IFNA(VLOOKUP(A562,'619'!D:Q,14,FALSE),0)</f>
        <v>0</v>
      </c>
      <c r="O562" t="s">
        <v>531</v>
      </c>
      <c r="P562" t="str">
        <f>_xlfn.IFNA(VLOOKUP(A562,IndirectCost!B:L,11,FALSE),"")</f>
        <v/>
      </c>
      <c r="Q562">
        <f t="shared" si="8"/>
        <v>0</v>
      </c>
    </row>
    <row r="563" spans="1:17">
      <c r="A563" t="s">
        <v>1220</v>
      </c>
      <c r="B563" t="s">
        <v>1221</v>
      </c>
      <c r="C563" t="str">
        <f>VLOOKUP(A563,Districts!A:I,9,FALSE)</f>
        <v>South Valley Academy, Inc.</v>
      </c>
      <c r="D563" t="str">
        <f>VLOOKUP(A563,Districts!A:P,16,FALSE)</f>
        <v>DM3MXKYW6CH4</v>
      </c>
      <c r="F563" s="1">
        <v>45200</v>
      </c>
      <c r="G563" t="s">
        <v>529</v>
      </c>
      <c r="H563" t="s">
        <v>530</v>
      </c>
      <c r="I563" s="59">
        <f>_xlfn.IFNA(VLOOKUP(A563,'619'!D:F,3,FALSE),0)</f>
        <v>0</v>
      </c>
      <c r="J563" s="59">
        <f>_xlfn.IFNA(VLOOKUP(A563,'619'!D:Q,14,FALSE),0)</f>
        <v>0</v>
      </c>
      <c r="K563" s="59">
        <f>_xlfn.IFNA(VLOOKUP(A563,'619'!D:Q,14,FALSE),0)</f>
        <v>0</v>
      </c>
      <c r="O563" t="s">
        <v>531</v>
      </c>
      <c r="P563" t="str">
        <f>_xlfn.IFNA(VLOOKUP(A563,IndirectCost!B:L,11,FALSE),"")</f>
        <v/>
      </c>
      <c r="Q563">
        <f t="shared" si="8"/>
        <v>0</v>
      </c>
    </row>
    <row r="564" spans="1:17">
      <c r="A564" t="s">
        <v>439</v>
      </c>
      <c r="B564" t="s">
        <v>1222</v>
      </c>
      <c r="C564" t="str">
        <f>VLOOKUP(A564,Districts!A:I,9,FALSE)</f>
        <v>SOUTHGATE ACADEMY, INC.</v>
      </c>
      <c r="D564" t="str">
        <f>VLOOKUP(A564,Districts!A:P,16,FALSE)</f>
        <v>HQXMQH29EDG5</v>
      </c>
      <c r="F564" s="1">
        <v>45200</v>
      </c>
      <c r="G564" t="s">
        <v>529</v>
      </c>
      <c r="H564" t="s">
        <v>530</v>
      </c>
      <c r="I564" s="59">
        <f>_xlfn.IFNA(VLOOKUP(A564,'619'!D:F,3,FALSE),0)</f>
        <v>1038.9100000000001</v>
      </c>
      <c r="J564" s="59">
        <f>_xlfn.IFNA(VLOOKUP(A564,'619'!D:Q,14,FALSE),0)</f>
        <v>1038.9100000000001</v>
      </c>
      <c r="K564" s="59">
        <f>_xlfn.IFNA(VLOOKUP(A564,'619'!D:Q,14,FALSE),0)</f>
        <v>1038.9100000000001</v>
      </c>
      <c r="O564" t="s">
        <v>531</v>
      </c>
      <c r="P564" t="str">
        <f>_xlfn.IFNA(VLOOKUP(A564,IndirectCost!B:L,11,FALSE),"")</f>
        <v/>
      </c>
      <c r="Q564">
        <f t="shared" si="8"/>
        <v>0</v>
      </c>
    </row>
    <row r="565" spans="1:17">
      <c r="A565" t="s">
        <v>1223</v>
      </c>
      <c r="B565" t="s">
        <v>1224</v>
      </c>
      <c r="C565" t="str">
        <f>VLOOKUP(A565,Districts!A:I,9,FALSE)</f>
        <v>Southwest Leadership Academy</v>
      </c>
      <c r="D565" t="str">
        <f>VLOOKUP(A565,Districts!A:P,16,FALSE)</f>
        <v>KNF5JX5KBJC9</v>
      </c>
      <c r="F565" s="1">
        <v>45200</v>
      </c>
      <c r="G565" t="s">
        <v>529</v>
      </c>
      <c r="H565" t="s">
        <v>530</v>
      </c>
      <c r="I565" s="59">
        <f>_xlfn.IFNA(VLOOKUP(A565,'619'!D:F,3,FALSE),0)</f>
        <v>0</v>
      </c>
      <c r="J565" s="59">
        <f>_xlfn.IFNA(VLOOKUP(A565,'619'!D:Q,14,FALSE),0)</f>
        <v>0</v>
      </c>
      <c r="K565" s="59">
        <f>_xlfn.IFNA(VLOOKUP(A565,'619'!D:Q,14,FALSE),0)</f>
        <v>0</v>
      </c>
      <c r="O565" t="s">
        <v>531</v>
      </c>
      <c r="P565" t="str">
        <f>_xlfn.IFNA(VLOOKUP(A565,IndirectCost!B:L,11,FALSE),"")</f>
        <v/>
      </c>
      <c r="Q565">
        <f t="shared" si="8"/>
        <v>0</v>
      </c>
    </row>
    <row r="566" spans="1:17">
      <c r="A566" t="s">
        <v>440</v>
      </c>
      <c r="B566" t="s">
        <v>1225</v>
      </c>
      <c r="C566" t="str">
        <f>VLOOKUP(A566,Districts!A:I,9,FALSE)</f>
        <v>ST DAVID UNIFIED SCHOOL</v>
      </c>
      <c r="D566" t="str">
        <f>VLOOKUP(A566,Districts!A:P,16,FALSE)</f>
        <v>GK87S3H35HJ1</v>
      </c>
      <c r="F566" s="1">
        <v>45200</v>
      </c>
      <c r="G566" t="s">
        <v>529</v>
      </c>
      <c r="H566" t="s">
        <v>530</v>
      </c>
      <c r="I566" s="59">
        <f>_xlfn.IFNA(VLOOKUP(A566,'619'!D:F,3,FALSE),0)</f>
        <v>6877.69</v>
      </c>
      <c r="J566" s="59">
        <f>_xlfn.IFNA(VLOOKUP(A566,'619'!D:Q,14,FALSE),0)</f>
        <v>6877.69</v>
      </c>
      <c r="K566" s="59">
        <f>_xlfn.IFNA(VLOOKUP(A566,'619'!D:Q,14,FALSE),0)</f>
        <v>6877.69</v>
      </c>
      <c r="O566" t="s">
        <v>531</v>
      </c>
      <c r="P566" t="str">
        <f>_xlfn.IFNA(VLOOKUP(A566,IndirectCost!B:L,11,FALSE),"")</f>
        <v/>
      </c>
      <c r="Q566">
        <f t="shared" si="8"/>
        <v>0</v>
      </c>
    </row>
    <row r="567" spans="1:17">
      <c r="A567" t="s">
        <v>441</v>
      </c>
      <c r="B567" t="s">
        <v>1226</v>
      </c>
      <c r="C567" t="str">
        <f>VLOOKUP(A567,Districts!A:I,9,FALSE)</f>
        <v>Saint Johns Unified School District #1</v>
      </c>
      <c r="D567" t="str">
        <f>VLOOKUP(A567,Districts!A:P,16,FALSE)</f>
        <v>EW1YMSQRXNM8</v>
      </c>
      <c r="F567" s="1">
        <v>45200</v>
      </c>
      <c r="G567" t="s">
        <v>529</v>
      </c>
      <c r="H567" t="s">
        <v>530</v>
      </c>
      <c r="I567" s="59">
        <f>_xlfn.IFNA(VLOOKUP(A567,'619'!D:F,3,FALSE),0)</f>
        <v>9999.25</v>
      </c>
      <c r="J567" s="59">
        <f>_xlfn.IFNA(VLOOKUP(A567,'619'!D:Q,14,FALSE),0)</f>
        <v>15179.91</v>
      </c>
      <c r="K567" s="59">
        <f>_xlfn.IFNA(VLOOKUP(A567,'619'!D:Q,14,FALSE),0)</f>
        <v>15179.91</v>
      </c>
      <c r="O567" t="s">
        <v>531</v>
      </c>
      <c r="P567">
        <f>_xlfn.IFNA(VLOOKUP(A567,IndirectCost!B:L,11,FALSE),"")</f>
        <v>2.7</v>
      </c>
      <c r="Q567">
        <f t="shared" si="8"/>
        <v>2.7000000000000003E-2</v>
      </c>
    </row>
    <row r="568" spans="1:17">
      <c r="A568" t="s">
        <v>442</v>
      </c>
      <c r="B568" t="s">
        <v>1227</v>
      </c>
      <c r="C568" t="str">
        <f>VLOOKUP(A568,Districts!A:I,9,FALSE)</f>
        <v>Stanfield Elementary School District 24</v>
      </c>
      <c r="D568" t="str">
        <f>VLOOKUP(A568,Districts!A:P,16,FALSE)</f>
        <v>G32SGFGVLRL3</v>
      </c>
      <c r="F568" s="1">
        <v>45200</v>
      </c>
      <c r="G568" t="s">
        <v>529</v>
      </c>
      <c r="H568" t="s">
        <v>530</v>
      </c>
      <c r="I568" s="59">
        <f>_xlfn.IFNA(VLOOKUP(A568,'619'!D:F,3,FALSE),0)</f>
        <v>1366.16</v>
      </c>
      <c r="J568" s="59">
        <f>_xlfn.IFNA(VLOOKUP(A568,'619'!D:Q,14,FALSE),0)</f>
        <v>1366.16</v>
      </c>
      <c r="K568" s="59">
        <f>_xlfn.IFNA(VLOOKUP(A568,'619'!D:Q,14,FALSE),0)</f>
        <v>1366.16</v>
      </c>
      <c r="O568" t="s">
        <v>531</v>
      </c>
      <c r="P568">
        <f>_xlfn.IFNA(VLOOKUP(A568,IndirectCost!B:L,11,FALSE),"")</f>
        <v>8</v>
      </c>
      <c r="Q568">
        <f t="shared" si="8"/>
        <v>0.08</v>
      </c>
    </row>
    <row r="569" spans="1:17">
      <c r="A569" t="s">
        <v>443</v>
      </c>
      <c r="B569" t="s">
        <v>1228</v>
      </c>
      <c r="C569" t="str">
        <f>VLOOKUP(A569,Districts!A:I,9,FALSE)</f>
        <v>Step Up Schools, Inc.</v>
      </c>
      <c r="D569" t="str">
        <f>VLOOKUP(A569,Districts!A:P,16,FALSE)</f>
        <v>YENJJFDH6UF4</v>
      </c>
      <c r="F569" s="1">
        <v>45200</v>
      </c>
      <c r="G569" t="s">
        <v>529</v>
      </c>
      <c r="H569" t="s">
        <v>530</v>
      </c>
      <c r="I569" s="59">
        <f>_xlfn.IFNA(VLOOKUP(A569,'619'!D:F,3,FALSE),0)</f>
        <v>1089.19</v>
      </c>
      <c r="J569" s="59">
        <f>_xlfn.IFNA(VLOOKUP(A569,'619'!D:Q,14,FALSE),0)</f>
        <v>1191.56</v>
      </c>
      <c r="K569" s="59">
        <f>_xlfn.IFNA(VLOOKUP(A569,'619'!D:Q,14,FALSE),0)</f>
        <v>1191.56</v>
      </c>
      <c r="O569" t="s">
        <v>531</v>
      </c>
      <c r="P569" t="str">
        <f>_xlfn.IFNA(VLOOKUP(A569,IndirectCost!B:L,11,FALSE),"")</f>
        <v/>
      </c>
      <c r="Q569">
        <f t="shared" si="8"/>
        <v>0</v>
      </c>
    </row>
    <row r="570" spans="1:17">
      <c r="A570" t="s">
        <v>444</v>
      </c>
      <c r="B570" t="s">
        <v>1229</v>
      </c>
      <c r="C570" t="str">
        <f>VLOOKUP(A570,Districts!A:I,9,FALSE)</f>
        <v>Stepping Stones Academy, Inc.</v>
      </c>
      <c r="D570" t="str">
        <f>VLOOKUP(A570,Districts!A:P,16,FALSE)</f>
        <v>DC77AJCJMA65</v>
      </c>
      <c r="F570" s="1">
        <v>45200</v>
      </c>
      <c r="G570" t="s">
        <v>529</v>
      </c>
      <c r="H570" t="s">
        <v>530</v>
      </c>
      <c r="I570" s="59">
        <f>_xlfn.IFNA(VLOOKUP(A570,'619'!D:F,3,FALSE),0)</f>
        <v>422.19</v>
      </c>
      <c r="J570" s="59">
        <f>_xlfn.IFNA(VLOOKUP(A570,'619'!D:Q,14,FALSE),0)</f>
        <v>422.19</v>
      </c>
      <c r="K570" s="59">
        <f>_xlfn.IFNA(VLOOKUP(A570,'619'!D:Q,14,FALSE),0)</f>
        <v>422.19</v>
      </c>
      <c r="O570" t="s">
        <v>531</v>
      </c>
      <c r="P570" t="str">
        <f>_xlfn.IFNA(VLOOKUP(A570,IndirectCost!B:L,11,FALSE),"")</f>
        <v/>
      </c>
      <c r="Q570">
        <f t="shared" si="8"/>
        <v>0</v>
      </c>
    </row>
    <row r="571" spans="1:17">
      <c r="A571" t="s">
        <v>1230</v>
      </c>
      <c r="B571" t="s">
        <v>1231</v>
      </c>
      <c r="C571" t="str">
        <f>VLOOKUP(A571,Districts!A:I,9,FALSE)</f>
        <v>StrengthBuilding Partners dba Las Puertas</v>
      </c>
      <c r="D571" t="str">
        <f>VLOOKUP(A571,Districts!A:P,16,FALSE)</f>
        <v>KFLUU3KRPP59</v>
      </c>
      <c r="F571" s="1">
        <v>45200</v>
      </c>
      <c r="G571" t="s">
        <v>529</v>
      </c>
      <c r="H571" t="s">
        <v>530</v>
      </c>
      <c r="I571" s="59">
        <f>_xlfn.IFNA(VLOOKUP(A571,'619'!D:F,3,FALSE),0)</f>
        <v>0</v>
      </c>
      <c r="J571" s="59">
        <f>_xlfn.IFNA(VLOOKUP(A571,'619'!D:Q,14,FALSE),0)</f>
        <v>0</v>
      </c>
      <c r="K571" s="59">
        <f>_xlfn.IFNA(VLOOKUP(A571,'619'!D:Q,14,FALSE),0)</f>
        <v>0</v>
      </c>
      <c r="O571" t="s">
        <v>531</v>
      </c>
      <c r="P571" t="str">
        <f>_xlfn.IFNA(VLOOKUP(A571,IndirectCost!B:L,11,FALSE),"")</f>
        <v/>
      </c>
      <c r="Q571">
        <f t="shared" si="8"/>
        <v>0</v>
      </c>
    </row>
    <row r="572" spans="1:17">
      <c r="A572" t="s">
        <v>445</v>
      </c>
      <c r="B572" t="s">
        <v>1232</v>
      </c>
      <c r="C572" t="str">
        <f>VLOOKUP(A572,Districts!A:I,9,FALSE)</f>
        <v>SUCCESS SCHOOL</v>
      </c>
      <c r="D572" t="str">
        <f>VLOOKUP(A572,Districts!A:P,16,FALSE)</f>
        <v>SM2BG7U9XLT9</v>
      </c>
      <c r="F572" s="1">
        <v>45200</v>
      </c>
      <c r="G572" t="s">
        <v>529</v>
      </c>
      <c r="H572" t="s">
        <v>530</v>
      </c>
      <c r="I572" s="59">
        <f>_xlfn.IFNA(VLOOKUP(A572,'619'!D:F,3,FALSE),0)</f>
        <v>1314.14</v>
      </c>
      <c r="J572" s="59">
        <f>_xlfn.IFNA(VLOOKUP(A572,'619'!D:Q,14,FALSE),0)</f>
        <v>1314.14</v>
      </c>
      <c r="K572" s="59">
        <f>_xlfn.IFNA(VLOOKUP(A572,'619'!D:Q,14,FALSE),0)</f>
        <v>1314.14</v>
      </c>
      <c r="O572" t="s">
        <v>531</v>
      </c>
      <c r="P572">
        <f>_xlfn.IFNA(VLOOKUP(A572,IndirectCost!B:L,11,FALSE),"")</f>
        <v>0</v>
      </c>
      <c r="Q572">
        <f t="shared" si="8"/>
        <v>0</v>
      </c>
    </row>
    <row r="573" spans="1:17">
      <c r="A573" t="s">
        <v>446</v>
      </c>
      <c r="B573" t="s">
        <v>1233</v>
      </c>
      <c r="C573" t="str">
        <f>VLOOKUP(A573,Districts!A:I,9,FALSE)</f>
        <v>Sunnyside Unified School District 12</v>
      </c>
      <c r="D573" t="str">
        <f>VLOOKUP(A573,Districts!A:P,16,FALSE)</f>
        <v>TKBSF37VK8J8</v>
      </c>
      <c r="F573" s="1">
        <v>45200</v>
      </c>
      <c r="G573" t="s">
        <v>529</v>
      </c>
      <c r="H573" t="s">
        <v>530</v>
      </c>
      <c r="I573" s="59">
        <f>_xlfn.IFNA(VLOOKUP(A573,'619'!D:F,3,FALSE),0)</f>
        <v>88776.55</v>
      </c>
      <c r="J573" s="59">
        <f>_xlfn.IFNA(VLOOKUP(A573,'619'!D:Q,14,FALSE),0)</f>
        <v>118107.17</v>
      </c>
      <c r="K573" s="59">
        <f>_xlfn.IFNA(VLOOKUP(A573,'619'!D:Q,14,FALSE),0)</f>
        <v>118107.17</v>
      </c>
      <c r="O573" t="s">
        <v>531</v>
      </c>
      <c r="P573">
        <f>_xlfn.IFNA(VLOOKUP(A573,IndirectCost!B:L,11,FALSE),"")</f>
        <v>8</v>
      </c>
      <c r="Q573">
        <f t="shared" si="8"/>
        <v>0.08</v>
      </c>
    </row>
    <row r="574" spans="1:17">
      <c r="A574" t="s">
        <v>447</v>
      </c>
      <c r="B574" t="s">
        <v>1234</v>
      </c>
      <c r="C574" t="str">
        <f>VLOOKUP(A574,Districts!A:I,9,FALSE)</f>
        <v>Superior Unified School District #15</v>
      </c>
      <c r="D574" t="str">
        <f>VLOOKUP(A574,Districts!A:P,16,FALSE)</f>
        <v>CWCLQ9LAW4J7</v>
      </c>
      <c r="F574" s="1">
        <v>45200</v>
      </c>
      <c r="G574" t="s">
        <v>529</v>
      </c>
      <c r="H574" t="s">
        <v>530</v>
      </c>
      <c r="I574" s="59">
        <f>_xlfn.IFNA(VLOOKUP(A574,'619'!D:F,3,FALSE),0)</f>
        <v>586.63</v>
      </c>
      <c r="J574" s="59">
        <f>_xlfn.IFNA(VLOOKUP(A574,'619'!D:Q,14,FALSE),0)</f>
        <v>1159.75</v>
      </c>
      <c r="K574" s="59">
        <f>_xlfn.IFNA(VLOOKUP(A574,'619'!D:Q,14,FALSE),0)</f>
        <v>1159.75</v>
      </c>
      <c r="O574" t="s">
        <v>531</v>
      </c>
      <c r="P574">
        <f>_xlfn.IFNA(VLOOKUP(A574,IndirectCost!B:L,11,FALSE),"")</f>
        <v>8</v>
      </c>
      <c r="Q574">
        <f t="shared" si="8"/>
        <v>0.08</v>
      </c>
    </row>
    <row r="575" spans="1:17">
      <c r="A575" t="s">
        <v>448</v>
      </c>
      <c r="B575" t="s">
        <v>1235</v>
      </c>
      <c r="C575" t="str">
        <f>VLOOKUP(A575,Districts!A:I,9,FALSE)</f>
        <v>Synergy Public Schools</v>
      </c>
      <c r="D575" t="str">
        <f>VLOOKUP(A575,Districts!A:P,16,FALSE)</f>
        <v>U5VPWHUUHQ75</v>
      </c>
      <c r="F575" s="1">
        <v>45200</v>
      </c>
      <c r="G575" t="s">
        <v>529</v>
      </c>
      <c r="H575" t="s">
        <v>530</v>
      </c>
      <c r="I575" s="59">
        <f>_xlfn.IFNA(VLOOKUP(A575,'619'!D:F,3,FALSE),0)</f>
        <v>1370.92</v>
      </c>
      <c r="J575" s="59">
        <f>_xlfn.IFNA(VLOOKUP(A575,'619'!D:Q,14,FALSE),0)</f>
        <v>1370.92</v>
      </c>
      <c r="K575" s="59">
        <f>_xlfn.IFNA(VLOOKUP(A575,'619'!D:Q,14,FALSE),0)</f>
        <v>1370.92</v>
      </c>
      <c r="O575" t="s">
        <v>531</v>
      </c>
      <c r="P575">
        <f>_xlfn.IFNA(VLOOKUP(A575,IndirectCost!B:L,11,FALSE),"")</f>
        <v>8</v>
      </c>
      <c r="Q575">
        <f t="shared" si="8"/>
        <v>0.08</v>
      </c>
    </row>
    <row r="576" spans="1:17">
      <c r="A576" t="s">
        <v>449</v>
      </c>
      <c r="B576" t="s">
        <v>1236</v>
      </c>
      <c r="C576" t="str">
        <f>VLOOKUP(A576,Districts!A:I,9,FALSE)</f>
        <v>Tanque Verde Unified School District 13</v>
      </c>
      <c r="D576" t="str">
        <f>VLOOKUP(A576,Districts!A:P,16,FALSE)</f>
        <v>U3SYPKDBQTR8</v>
      </c>
      <c r="F576" s="1">
        <v>45200</v>
      </c>
      <c r="G576" t="s">
        <v>529</v>
      </c>
      <c r="H576" t="s">
        <v>530</v>
      </c>
      <c r="I576" s="59">
        <f>_xlfn.IFNA(VLOOKUP(A576,'619'!D:F,3,FALSE),0)</f>
        <v>7771.35</v>
      </c>
      <c r="J576" s="59">
        <f>_xlfn.IFNA(VLOOKUP(A576,'619'!D:Q,14,FALSE),0)</f>
        <v>8366.2199999999993</v>
      </c>
      <c r="K576" s="59">
        <f>_xlfn.IFNA(VLOOKUP(A576,'619'!D:Q,14,FALSE),0)</f>
        <v>8366.2199999999993</v>
      </c>
      <c r="O576" t="s">
        <v>531</v>
      </c>
      <c r="P576" t="str">
        <f>_xlfn.IFNA(VLOOKUP(A576,IndirectCost!B:L,11,FALSE),"")</f>
        <v/>
      </c>
      <c r="Q576">
        <f t="shared" si="8"/>
        <v>0</v>
      </c>
    </row>
    <row r="577" spans="1:17">
      <c r="A577" t="s">
        <v>450</v>
      </c>
      <c r="B577" t="s">
        <v>1237</v>
      </c>
      <c r="C577" t="str">
        <f>VLOOKUP(A577,Districts!A:I,9,FALSE)</f>
        <v>Telesis Center For Learning, Inc.</v>
      </c>
      <c r="D577" t="str">
        <f>VLOOKUP(A577,Districts!A:P,16,FALSE)</f>
        <v>SCANB836JPU4</v>
      </c>
      <c r="F577" s="1">
        <v>45200</v>
      </c>
      <c r="G577" t="s">
        <v>529</v>
      </c>
      <c r="H577" t="s">
        <v>530</v>
      </c>
      <c r="I577" s="59">
        <f>_xlfn.IFNA(VLOOKUP(A577,'619'!D:F,3,FALSE),0)</f>
        <v>528</v>
      </c>
      <c r="J577" s="59">
        <f>_xlfn.IFNA(VLOOKUP(A577,'619'!D:Q,14,FALSE),0)</f>
        <v>528</v>
      </c>
      <c r="K577" s="59">
        <f>_xlfn.IFNA(VLOOKUP(A577,'619'!D:Q,14,FALSE),0)</f>
        <v>528</v>
      </c>
      <c r="O577" t="s">
        <v>531</v>
      </c>
      <c r="P577" t="str">
        <f>_xlfn.IFNA(VLOOKUP(A577,IndirectCost!B:L,11,FALSE),"")</f>
        <v/>
      </c>
      <c r="Q577">
        <f t="shared" si="8"/>
        <v>0</v>
      </c>
    </row>
    <row r="578" spans="1:17">
      <c r="A578" t="s">
        <v>1238</v>
      </c>
      <c r="B578" t="s">
        <v>1239</v>
      </c>
      <c r="C578" t="str">
        <f>VLOOKUP(A578,Districts!A:I,9,FALSE)</f>
        <v>Tempe Preparatory Academy</v>
      </c>
      <c r="D578" t="str">
        <f>VLOOKUP(A578,Districts!A:P,16,FALSE)</f>
        <v>QMKDBMBDM3G1</v>
      </c>
      <c r="F578" s="1">
        <v>45200</v>
      </c>
      <c r="G578" t="s">
        <v>529</v>
      </c>
      <c r="H578" t="s">
        <v>530</v>
      </c>
      <c r="I578" s="59">
        <f>_xlfn.IFNA(VLOOKUP(A578,'619'!D:F,3,FALSE),0)</f>
        <v>0</v>
      </c>
      <c r="J578" s="59">
        <f>_xlfn.IFNA(VLOOKUP(A578,'619'!D:Q,14,FALSE),0)</f>
        <v>0</v>
      </c>
      <c r="K578" s="59">
        <f>_xlfn.IFNA(VLOOKUP(A578,'619'!D:Q,14,FALSE),0)</f>
        <v>0</v>
      </c>
      <c r="O578" t="s">
        <v>531</v>
      </c>
      <c r="P578" t="str">
        <f>_xlfn.IFNA(VLOOKUP(A578,IndirectCost!B:L,11,FALSE),"")</f>
        <v/>
      </c>
      <c r="Q578">
        <f t="shared" si="8"/>
        <v>0</v>
      </c>
    </row>
    <row r="579" spans="1:17">
      <c r="A579" t="s">
        <v>451</v>
      </c>
      <c r="B579" t="s">
        <v>1240</v>
      </c>
      <c r="C579" t="str">
        <f>VLOOKUP(A579,Districts!A:I,9,FALSE)</f>
        <v>Tempe Elementary School District</v>
      </c>
      <c r="D579" t="str">
        <f>VLOOKUP(A579,Districts!A:P,16,FALSE)</f>
        <v>P5RJCMCSX565</v>
      </c>
      <c r="F579" s="1">
        <v>45200</v>
      </c>
      <c r="G579" t="s">
        <v>529</v>
      </c>
      <c r="H579" t="s">
        <v>530</v>
      </c>
      <c r="I579" s="59">
        <f>_xlfn.IFNA(VLOOKUP(A579,'619'!D:F,3,FALSE),0)</f>
        <v>103479.61</v>
      </c>
      <c r="J579" s="59">
        <f>_xlfn.IFNA(VLOOKUP(A579,'619'!D:Q,14,FALSE),0)</f>
        <v>103601.39</v>
      </c>
      <c r="K579" s="59">
        <f>_xlfn.IFNA(VLOOKUP(A579,'619'!D:Q,14,FALSE),0)</f>
        <v>103601.39</v>
      </c>
      <c r="O579" t="s">
        <v>531</v>
      </c>
      <c r="P579">
        <f>_xlfn.IFNA(VLOOKUP(A579,IndirectCost!B:L,11,FALSE),"")</f>
        <v>4.9000000000000004</v>
      </c>
      <c r="Q579">
        <f t="shared" si="8"/>
        <v>4.9000000000000002E-2</v>
      </c>
    </row>
    <row r="580" spans="1:17">
      <c r="A580" t="s">
        <v>1241</v>
      </c>
      <c r="B580" t="s">
        <v>1242</v>
      </c>
      <c r="C580" t="str">
        <f>VLOOKUP(A580,Districts!A:I,9,FALSE)</f>
        <v>Tempe Union High School District #213</v>
      </c>
      <c r="D580" t="str">
        <f>VLOOKUP(A580,Districts!A:P,16,FALSE)</f>
        <v>GDS4JBKPXFA8</v>
      </c>
      <c r="F580" s="1">
        <v>45200</v>
      </c>
      <c r="G580" t="s">
        <v>529</v>
      </c>
      <c r="H580" t="s">
        <v>530</v>
      </c>
      <c r="I580" s="59">
        <f>_xlfn.IFNA(VLOOKUP(A580,'619'!D:F,3,FALSE),0)</f>
        <v>0</v>
      </c>
      <c r="J580" s="59">
        <f>_xlfn.IFNA(VLOOKUP(A580,'619'!D:Q,14,FALSE),0)</f>
        <v>0</v>
      </c>
      <c r="K580" s="59">
        <f>_xlfn.IFNA(VLOOKUP(A580,'619'!D:Q,14,FALSE),0)</f>
        <v>0</v>
      </c>
      <c r="O580" t="s">
        <v>531</v>
      </c>
      <c r="P580">
        <f>_xlfn.IFNA(VLOOKUP(A580,IndirectCost!B:L,11,FALSE),"")</f>
        <v>4.47</v>
      </c>
      <c r="Q580">
        <f t="shared" ref="Q580:Q643" si="9">IFERROR(P580/100,0)</f>
        <v>4.4699999999999997E-2</v>
      </c>
    </row>
    <row r="581" spans="1:17">
      <c r="A581" t="s">
        <v>1243</v>
      </c>
      <c r="B581" t="s">
        <v>1244</v>
      </c>
      <c r="C581">
        <f>VLOOKUP(A581,Districts!A:I,9,FALSE)</f>
        <v>0</v>
      </c>
      <c r="D581">
        <f>VLOOKUP(A581,Districts!A:P,16,FALSE)</f>
        <v>0</v>
      </c>
      <c r="F581" s="1">
        <v>45200</v>
      </c>
      <c r="G581" t="s">
        <v>529</v>
      </c>
      <c r="H581" t="s">
        <v>530</v>
      </c>
      <c r="I581" s="59">
        <f>_xlfn.IFNA(VLOOKUP(A581,'619'!D:F,3,FALSE),0)</f>
        <v>0</v>
      </c>
      <c r="J581" s="59">
        <f>_xlfn.IFNA(VLOOKUP(A581,'619'!D:Q,14,FALSE),0)</f>
        <v>0</v>
      </c>
      <c r="K581" s="59">
        <f>_xlfn.IFNA(VLOOKUP(A581,'619'!D:Q,14,FALSE),0)</f>
        <v>0</v>
      </c>
      <c r="O581" t="s">
        <v>531</v>
      </c>
      <c r="P581" t="str">
        <f>_xlfn.IFNA(VLOOKUP(A581,IndirectCost!B:L,11,FALSE),"")</f>
        <v/>
      </c>
      <c r="Q581">
        <f t="shared" si="9"/>
        <v>0</v>
      </c>
    </row>
    <row r="582" spans="1:17">
      <c r="A582" t="s">
        <v>452</v>
      </c>
      <c r="B582" t="s">
        <v>1245</v>
      </c>
      <c r="C582" t="str">
        <f>VLOOKUP(A582,Districts!A:I,9,FALSE)</f>
        <v>Thatcher Unified School District 4</v>
      </c>
      <c r="D582" t="str">
        <f>VLOOKUP(A582,Districts!A:P,16,FALSE)</f>
        <v>YPNPAYGUUZC6</v>
      </c>
      <c r="F582" s="1">
        <v>45200</v>
      </c>
      <c r="G582" t="s">
        <v>529</v>
      </c>
      <c r="H582" t="s">
        <v>530</v>
      </c>
      <c r="I582" s="59">
        <f>_xlfn.IFNA(VLOOKUP(A582,'619'!D:F,3,FALSE),0)</f>
        <v>7592.78</v>
      </c>
      <c r="J582" s="59">
        <f>_xlfn.IFNA(VLOOKUP(A582,'619'!D:Q,14,FALSE),0)</f>
        <v>7592.78</v>
      </c>
      <c r="K582" s="59">
        <f>_xlfn.IFNA(VLOOKUP(A582,'619'!D:Q,14,FALSE),0)</f>
        <v>7592.78</v>
      </c>
      <c r="O582" t="s">
        <v>531</v>
      </c>
      <c r="P582" t="str">
        <f>_xlfn.IFNA(VLOOKUP(A582,IndirectCost!B:L,11,FALSE),"")</f>
        <v/>
      </c>
      <c r="Q582">
        <f t="shared" si="9"/>
        <v>0</v>
      </c>
    </row>
    <row r="583" spans="1:17">
      <c r="A583" t="s">
        <v>453</v>
      </c>
      <c r="B583" t="s">
        <v>1246</v>
      </c>
      <c r="C583" t="str">
        <f>VLOOKUP(A583,Districts!A:I,9,FALSE)</f>
        <v>Boys &amp; Girls Clubs of the Valley, Inc</v>
      </c>
      <c r="D583" t="str">
        <f>VLOOKUP(A583,Districts!A:P,16,FALSE)</f>
        <v>LTVKRCUGBUK6</v>
      </c>
      <c r="F583" s="1">
        <v>45200</v>
      </c>
      <c r="G583" t="s">
        <v>529</v>
      </c>
      <c r="H583" t="s">
        <v>530</v>
      </c>
      <c r="I583" s="59">
        <f>_xlfn.IFNA(VLOOKUP(A583,'619'!D:F,3,FALSE),0)</f>
        <v>810.9</v>
      </c>
      <c r="J583" s="59">
        <f>_xlfn.IFNA(VLOOKUP(A583,'619'!D:Q,14,FALSE),0)</f>
        <v>810.9</v>
      </c>
      <c r="K583" s="59">
        <f>_xlfn.IFNA(VLOOKUP(A583,'619'!D:Q,14,FALSE),0)</f>
        <v>810.9</v>
      </c>
      <c r="O583" t="s">
        <v>531</v>
      </c>
      <c r="P583">
        <f>_xlfn.IFNA(VLOOKUP(A583,IndirectCost!B:L,11,FALSE),"")</f>
        <v>0</v>
      </c>
      <c r="Q583">
        <f t="shared" si="9"/>
        <v>0</v>
      </c>
    </row>
    <row r="584" spans="1:17">
      <c r="A584" t="s">
        <v>454</v>
      </c>
      <c r="B584" t="s">
        <v>1247</v>
      </c>
      <c r="C584" t="str">
        <f>VLOOKUP(A584,Districts!A:I,9,FALSE)</f>
        <v>The Charter Foundation Inc</v>
      </c>
      <c r="D584" t="str">
        <f>VLOOKUP(A584,Districts!A:P,16,FALSE)</f>
        <v>FWBXFYWDWYE1</v>
      </c>
      <c r="F584" s="1">
        <v>45200</v>
      </c>
      <c r="G584" t="s">
        <v>529</v>
      </c>
      <c r="H584" t="s">
        <v>530</v>
      </c>
      <c r="I584" s="59">
        <f>_xlfn.IFNA(VLOOKUP(A584,'619'!D:F,3,FALSE),0)</f>
        <v>1870.94</v>
      </c>
      <c r="J584" s="59">
        <f>_xlfn.IFNA(VLOOKUP(A584,'619'!D:Q,14,FALSE),0)</f>
        <v>4432.97</v>
      </c>
      <c r="K584" s="59">
        <f>_xlfn.IFNA(VLOOKUP(A584,'619'!D:Q,14,FALSE),0)</f>
        <v>4432.97</v>
      </c>
      <c r="O584" t="s">
        <v>531</v>
      </c>
      <c r="P584" t="str">
        <f>_xlfn.IFNA(VLOOKUP(A584,IndirectCost!B:L,11,FALSE),"")</f>
        <v/>
      </c>
      <c r="Q584">
        <f t="shared" si="9"/>
        <v>0</v>
      </c>
    </row>
    <row r="585" spans="1:17">
      <c r="A585" t="s">
        <v>1248</v>
      </c>
      <c r="B585" t="s">
        <v>1249</v>
      </c>
      <c r="C585" t="str">
        <f>VLOOKUP(A585,Districts!A:I,9,FALSE)</f>
        <v>THE FARM AT MISSION MONTESSORI ACADEMY</v>
      </c>
      <c r="D585" t="str">
        <f>VLOOKUP(A585,Districts!A:P,16,FALSE)</f>
        <v>JN11X9CHA775</v>
      </c>
      <c r="F585" s="1">
        <v>45200</v>
      </c>
      <c r="G585" t="s">
        <v>529</v>
      </c>
      <c r="H585" t="s">
        <v>530</v>
      </c>
      <c r="I585" s="59">
        <f>_xlfn.IFNA(VLOOKUP(A585,'619'!D:F,3,FALSE),0)</f>
        <v>0</v>
      </c>
      <c r="J585" s="59">
        <f>_xlfn.IFNA(VLOOKUP(A585,'619'!D:Q,14,FALSE),0)</f>
        <v>0</v>
      </c>
      <c r="K585" s="59">
        <f>_xlfn.IFNA(VLOOKUP(A585,'619'!D:Q,14,FALSE),0)</f>
        <v>0</v>
      </c>
      <c r="O585" t="s">
        <v>531</v>
      </c>
      <c r="P585" t="str">
        <f>_xlfn.IFNA(VLOOKUP(A585,IndirectCost!B:L,11,FALSE),"")</f>
        <v/>
      </c>
      <c r="Q585">
        <f t="shared" si="9"/>
        <v>0</v>
      </c>
    </row>
    <row r="586" spans="1:17">
      <c r="A586" t="s">
        <v>455</v>
      </c>
      <c r="B586" t="s">
        <v>1250</v>
      </c>
      <c r="C586" t="str">
        <f>VLOOKUP(A586,Districts!A:I,9,FALSE)</f>
        <v>The Grande Innovation Academy</v>
      </c>
      <c r="D586" t="str">
        <f>VLOOKUP(A586,Districts!A:P,16,FALSE)</f>
        <v>DGG3LKYG1PK3</v>
      </c>
      <c r="F586" s="1">
        <v>45200</v>
      </c>
      <c r="G586" t="s">
        <v>529</v>
      </c>
      <c r="H586" t="s">
        <v>530</v>
      </c>
      <c r="I586" s="59">
        <f>_xlfn.IFNA(VLOOKUP(A586,'619'!D:F,3,FALSE),0)</f>
        <v>787.39</v>
      </c>
      <c r="J586" s="59">
        <f>_xlfn.IFNA(VLOOKUP(A586,'619'!D:Q,14,FALSE),0)</f>
        <v>0</v>
      </c>
      <c r="K586" s="59">
        <f>_xlfn.IFNA(VLOOKUP(A586,'619'!D:Q,14,FALSE),0)</f>
        <v>0</v>
      </c>
      <c r="O586" t="s">
        <v>531</v>
      </c>
      <c r="P586" t="str">
        <f>_xlfn.IFNA(VLOOKUP(A586,IndirectCost!B:L,11,FALSE),"")</f>
        <v/>
      </c>
      <c r="Q586">
        <f t="shared" si="9"/>
        <v>0</v>
      </c>
    </row>
    <row r="587" spans="1:17">
      <c r="A587" t="s">
        <v>456</v>
      </c>
      <c r="B587" t="s">
        <v>1251</v>
      </c>
      <c r="C587" t="str">
        <f>VLOOKUP(A587,Districts!A:I,9,FALSE)</f>
        <v>Odyssey preparatory academy, inc. The</v>
      </c>
      <c r="D587" t="str">
        <f>VLOOKUP(A587,Districts!A:P,16,FALSE)</f>
        <v>ZML9AGSNVMJ5</v>
      </c>
      <c r="F587" s="1">
        <v>45200</v>
      </c>
      <c r="G587" t="s">
        <v>529</v>
      </c>
      <c r="H587" t="s">
        <v>530</v>
      </c>
      <c r="I587" s="59">
        <f>_xlfn.IFNA(VLOOKUP(A587,'619'!D:F,3,FALSE),0)</f>
        <v>1903.85</v>
      </c>
      <c r="J587" s="59">
        <f>_xlfn.IFNA(VLOOKUP(A587,'619'!D:Q,14,FALSE),0)</f>
        <v>0</v>
      </c>
      <c r="K587" s="59">
        <f>_xlfn.IFNA(VLOOKUP(A587,'619'!D:Q,14,FALSE),0)</f>
        <v>0</v>
      </c>
      <c r="O587" t="s">
        <v>531</v>
      </c>
      <c r="P587">
        <f>_xlfn.IFNA(VLOOKUP(A587,IndirectCost!B:L,11,FALSE),"")</f>
        <v>0</v>
      </c>
      <c r="Q587">
        <f t="shared" si="9"/>
        <v>0</v>
      </c>
    </row>
    <row r="588" spans="1:17">
      <c r="A588" t="s">
        <v>457</v>
      </c>
      <c r="B588" t="s">
        <v>1252</v>
      </c>
      <c r="C588" t="str">
        <f>VLOOKUP(A588,Districts!A:I,9,FALSE)</f>
        <v>THE PAIDEIA ACADEMIES INC</v>
      </c>
      <c r="D588" t="str">
        <f>VLOOKUP(A588,Districts!A:P,16,FALSE)</f>
        <v>CVZPAAV89ZT5</v>
      </c>
      <c r="F588" s="1">
        <v>45200</v>
      </c>
      <c r="G588" t="s">
        <v>529</v>
      </c>
      <c r="H588" t="s">
        <v>530</v>
      </c>
      <c r="I588" s="59">
        <f>_xlfn.IFNA(VLOOKUP(A588,'619'!D:F,3,FALSE),0)</f>
        <v>597.80999999999995</v>
      </c>
      <c r="J588" s="59">
        <f>_xlfn.IFNA(VLOOKUP(A588,'619'!D:Q,14,FALSE),0)</f>
        <v>0</v>
      </c>
      <c r="K588" s="59">
        <f>_xlfn.IFNA(VLOOKUP(A588,'619'!D:Q,14,FALSE),0)</f>
        <v>0</v>
      </c>
      <c r="O588" t="s">
        <v>531</v>
      </c>
      <c r="P588">
        <f>_xlfn.IFNA(VLOOKUP(A588,IndirectCost!B:L,11,FALSE),"")</f>
        <v>0</v>
      </c>
      <c r="Q588">
        <f t="shared" si="9"/>
        <v>0</v>
      </c>
    </row>
    <row r="589" spans="1:17">
      <c r="A589" t="s">
        <v>1253</v>
      </c>
      <c r="B589" t="s">
        <v>1254</v>
      </c>
      <c r="C589" t="str">
        <f>VLOOKUP(A589,Districts!A:I,9,FALSE)</f>
        <v>Think Through Academy</v>
      </c>
      <c r="D589" t="str">
        <f>VLOOKUP(A589,Districts!A:P,16,FALSE)</f>
        <v>Y856W8RA5Z57</v>
      </c>
      <c r="F589" s="1">
        <v>45200</v>
      </c>
      <c r="G589" t="s">
        <v>529</v>
      </c>
      <c r="H589" t="s">
        <v>530</v>
      </c>
      <c r="I589" s="59">
        <f>_xlfn.IFNA(VLOOKUP(A589,'619'!D:F,3,FALSE),0)</f>
        <v>0</v>
      </c>
      <c r="J589" s="59">
        <f>_xlfn.IFNA(VLOOKUP(A589,'619'!D:Q,14,FALSE),0)</f>
        <v>0</v>
      </c>
      <c r="K589" s="59">
        <f>_xlfn.IFNA(VLOOKUP(A589,'619'!D:Q,14,FALSE),0)</f>
        <v>0</v>
      </c>
      <c r="O589" t="s">
        <v>531</v>
      </c>
      <c r="P589">
        <f>_xlfn.IFNA(VLOOKUP(A589,IndirectCost!B:L,11,FALSE),"")</f>
        <v>8</v>
      </c>
      <c r="Q589">
        <f t="shared" si="9"/>
        <v>0.08</v>
      </c>
    </row>
    <row r="590" spans="1:17">
      <c r="A590" t="s">
        <v>1255</v>
      </c>
      <c r="B590" t="s">
        <v>1256</v>
      </c>
      <c r="C590" t="str">
        <f>VLOOKUP(A590,Districts!A:I,9,FALSE)</f>
        <v>ThrivePoint High School Inc.</v>
      </c>
      <c r="D590" t="str">
        <f>VLOOKUP(A590,Districts!A:P,16,FALSE)</f>
        <v>SFNDX5T9FQC9</v>
      </c>
      <c r="F590" s="1">
        <v>45200</v>
      </c>
      <c r="G590" t="s">
        <v>529</v>
      </c>
      <c r="H590" t="s">
        <v>530</v>
      </c>
      <c r="I590" s="59">
        <f>_xlfn.IFNA(VLOOKUP(A590,'619'!D:F,3,FALSE),0)</f>
        <v>0</v>
      </c>
      <c r="J590" s="59">
        <f>_xlfn.IFNA(VLOOKUP(A590,'619'!D:Q,14,FALSE),0)</f>
        <v>0</v>
      </c>
      <c r="K590" s="59">
        <f>_xlfn.IFNA(VLOOKUP(A590,'619'!D:Q,14,FALSE),0)</f>
        <v>0</v>
      </c>
      <c r="O590" t="s">
        <v>531</v>
      </c>
      <c r="P590" t="str">
        <f>_xlfn.IFNA(VLOOKUP(A590,IndirectCost!B:L,11,FALSE),"")</f>
        <v/>
      </c>
      <c r="Q590">
        <f t="shared" si="9"/>
        <v>0</v>
      </c>
    </row>
    <row r="591" spans="1:17">
      <c r="A591" t="s">
        <v>458</v>
      </c>
      <c r="B591" t="s">
        <v>1257</v>
      </c>
      <c r="C591" t="str">
        <f>VLOOKUP(A591,Districts!A:I,9,FALSE)</f>
        <v>Tolleson Elementary School District 17</v>
      </c>
      <c r="D591" t="str">
        <f>VLOOKUP(A591,Districts!A:P,16,FALSE)</f>
        <v>SEDFA1752G18</v>
      </c>
      <c r="F591" s="1">
        <v>45200</v>
      </c>
      <c r="G591" t="s">
        <v>529</v>
      </c>
      <c r="H591" t="s">
        <v>530</v>
      </c>
      <c r="I591" s="59">
        <f>_xlfn.IFNA(VLOOKUP(A591,'619'!D:F,3,FALSE),0)</f>
        <v>9219.01</v>
      </c>
      <c r="J591" s="59">
        <f>_xlfn.IFNA(VLOOKUP(A591,'619'!D:Q,14,FALSE),0)</f>
        <v>17370.61</v>
      </c>
      <c r="K591" s="59">
        <f>_xlfn.IFNA(VLOOKUP(A591,'619'!D:Q,14,FALSE),0)</f>
        <v>17370.61</v>
      </c>
      <c r="O591" t="s">
        <v>531</v>
      </c>
      <c r="P591">
        <f>_xlfn.IFNA(VLOOKUP(A591,IndirectCost!B:L,11,FALSE),"")</f>
        <v>4.32</v>
      </c>
      <c r="Q591">
        <f t="shared" si="9"/>
        <v>4.3200000000000002E-2</v>
      </c>
    </row>
    <row r="592" spans="1:17">
      <c r="A592" t="s">
        <v>1258</v>
      </c>
      <c r="B592" t="s">
        <v>1259</v>
      </c>
      <c r="C592" t="str">
        <f>VLOOKUP(A592,Districts!A:I,9,FALSE)</f>
        <v>Maricopa County of dba Tolleson Union High School District 214</v>
      </c>
      <c r="D592" t="str">
        <f>VLOOKUP(A592,Districts!A:P,16,FALSE)</f>
        <v>LMCMVMY1E853</v>
      </c>
      <c r="F592" s="1">
        <v>45200</v>
      </c>
      <c r="G592" t="s">
        <v>529</v>
      </c>
      <c r="H592" t="s">
        <v>530</v>
      </c>
      <c r="I592" s="59">
        <f>_xlfn.IFNA(VLOOKUP(A592,'619'!D:F,3,FALSE),0)</f>
        <v>0</v>
      </c>
      <c r="J592" s="59">
        <f>_xlfn.IFNA(VLOOKUP(A592,'619'!D:Q,14,FALSE),0)</f>
        <v>0</v>
      </c>
      <c r="K592" s="59">
        <f>_xlfn.IFNA(VLOOKUP(A592,'619'!D:Q,14,FALSE),0)</f>
        <v>0</v>
      </c>
      <c r="O592" t="s">
        <v>531</v>
      </c>
      <c r="P592">
        <f>_xlfn.IFNA(VLOOKUP(A592,IndirectCost!B:L,11,FALSE),"")</f>
        <v>3.68</v>
      </c>
      <c r="Q592">
        <f t="shared" si="9"/>
        <v>3.6799999999999999E-2</v>
      </c>
    </row>
    <row r="593" spans="1:17">
      <c r="A593" t="s">
        <v>459</v>
      </c>
      <c r="B593" t="s">
        <v>1260</v>
      </c>
      <c r="C593" t="str">
        <f>VLOOKUP(A593,Districts!A:I,9,FALSE)</f>
        <v>Toltec School District</v>
      </c>
      <c r="D593" t="str">
        <f>VLOOKUP(A593,Districts!A:P,16,FALSE)</f>
        <v>E6F7WZK5PWR9</v>
      </c>
      <c r="F593" s="1">
        <v>45200</v>
      </c>
      <c r="G593" t="s">
        <v>529</v>
      </c>
      <c r="H593" t="s">
        <v>530</v>
      </c>
      <c r="I593" s="59">
        <f>_xlfn.IFNA(VLOOKUP(A593,'619'!D:F,3,FALSE),0)</f>
        <v>7183.92</v>
      </c>
      <c r="J593" s="59">
        <f>_xlfn.IFNA(VLOOKUP(A593,'619'!D:Q,14,FALSE),0)</f>
        <v>7307.47</v>
      </c>
      <c r="K593" s="59">
        <f>_xlfn.IFNA(VLOOKUP(A593,'619'!D:Q,14,FALSE),0)</f>
        <v>7307.47</v>
      </c>
      <c r="O593" t="s">
        <v>531</v>
      </c>
      <c r="P593">
        <f>_xlfn.IFNA(VLOOKUP(A593,IndirectCost!B:L,11,FALSE),"")</f>
        <v>0</v>
      </c>
      <c r="Q593">
        <f t="shared" si="9"/>
        <v>0</v>
      </c>
    </row>
    <row r="594" spans="1:17">
      <c r="A594" t="s">
        <v>460</v>
      </c>
      <c r="B594" t="s">
        <v>1261</v>
      </c>
      <c r="C594" t="str">
        <f>VLOOKUP(A594,Districts!A:I,9,FALSE)</f>
        <v>Tombstone Unified School District 1</v>
      </c>
      <c r="D594" t="str">
        <f>VLOOKUP(A594,Districts!A:P,16,FALSE)</f>
        <v>MDKJJDR17D95</v>
      </c>
      <c r="F594" s="1">
        <v>45200</v>
      </c>
      <c r="G594" t="s">
        <v>529</v>
      </c>
      <c r="H594" t="s">
        <v>530</v>
      </c>
      <c r="I594" s="59">
        <f>_xlfn.IFNA(VLOOKUP(A594,'619'!D:F,3,FALSE),0)</f>
        <v>6454.13</v>
      </c>
      <c r="J594" s="59">
        <f>_xlfn.IFNA(VLOOKUP(A594,'619'!D:Q,14,FALSE),0)</f>
        <v>7378.69</v>
      </c>
      <c r="K594" s="59">
        <f>_xlfn.IFNA(VLOOKUP(A594,'619'!D:Q,14,FALSE),0)</f>
        <v>7378.69</v>
      </c>
      <c r="O594" t="s">
        <v>531</v>
      </c>
      <c r="P594">
        <f>_xlfn.IFNA(VLOOKUP(A594,IndirectCost!B:L,11,FALSE),"")</f>
        <v>0.43</v>
      </c>
      <c r="Q594">
        <f t="shared" si="9"/>
        <v>4.3E-3</v>
      </c>
    </row>
    <row r="595" spans="1:17">
      <c r="A595" t="s">
        <v>461</v>
      </c>
      <c r="B595" t="s">
        <v>1262</v>
      </c>
      <c r="C595" t="str">
        <f>VLOOKUP(A595,Districts!A:I,9,FALSE)</f>
        <v>Tonto Basin Elementary School District #33</v>
      </c>
      <c r="D595" t="str">
        <f>VLOOKUP(A595,Districts!A:P,16,FALSE)</f>
        <v>FJKZCB3JQ866</v>
      </c>
      <c r="F595" s="1">
        <v>45200</v>
      </c>
      <c r="G595" t="s">
        <v>529</v>
      </c>
      <c r="H595" t="s">
        <v>530</v>
      </c>
      <c r="I595" s="59">
        <f>_xlfn.IFNA(VLOOKUP(A595,'619'!D:F,3,FALSE),0)</f>
        <v>917.7</v>
      </c>
      <c r="J595" s="59">
        <f>_xlfn.IFNA(VLOOKUP(A595,'619'!D:Q,14,FALSE),0)</f>
        <v>917.7</v>
      </c>
      <c r="K595" s="59">
        <f>_xlfn.IFNA(VLOOKUP(A595,'619'!D:Q,14,FALSE),0)</f>
        <v>917.7</v>
      </c>
      <c r="O595" t="s">
        <v>531</v>
      </c>
      <c r="P595">
        <f>_xlfn.IFNA(VLOOKUP(A595,IndirectCost!B:L,11,FALSE),"")</f>
        <v>0</v>
      </c>
      <c r="Q595">
        <f t="shared" si="9"/>
        <v>0</v>
      </c>
    </row>
    <row r="596" spans="1:17">
      <c r="A596" t="s">
        <v>462</v>
      </c>
      <c r="B596" t="s">
        <v>1263</v>
      </c>
      <c r="C596" t="str">
        <f>VLOOKUP(A596,Districts!A:I,9,FALSE)</f>
        <v>Topock Elementary School Dist 12</v>
      </c>
      <c r="D596" t="str">
        <f>VLOOKUP(A596,Districts!A:P,16,FALSE)</f>
        <v>MFYWKC13M119</v>
      </c>
      <c r="F596" s="1">
        <v>45200</v>
      </c>
      <c r="G596" t="s">
        <v>529</v>
      </c>
      <c r="H596" t="s">
        <v>530</v>
      </c>
      <c r="I596" s="59">
        <f>_xlfn.IFNA(VLOOKUP(A596,'619'!D:F,3,FALSE),0)</f>
        <v>1089.95</v>
      </c>
      <c r="J596" s="59">
        <f>_xlfn.IFNA(VLOOKUP(A596,'619'!D:Q,14,FALSE),0)</f>
        <v>0</v>
      </c>
      <c r="K596" s="59">
        <f>_xlfn.IFNA(VLOOKUP(A596,'619'!D:Q,14,FALSE),0)</f>
        <v>0</v>
      </c>
      <c r="O596" t="s">
        <v>531</v>
      </c>
      <c r="P596" t="str">
        <f>_xlfn.IFNA(VLOOKUP(A596,IndirectCost!B:L,11,FALSE),"")</f>
        <v/>
      </c>
      <c r="Q596">
        <f t="shared" si="9"/>
        <v>0</v>
      </c>
    </row>
    <row r="597" spans="1:17">
      <c r="A597" t="s">
        <v>463</v>
      </c>
      <c r="B597" t="s">
        <v>1264</v>
      </c>
      <c r="C597" t="str">
        <f>VLOOKUP(A597,Districts!A:I,9,FALSE)</f>
        <v>Triumphant Learning Center, Inc</v>
      </c>
      <c r="D597" t="str">
        <f>VLOOKUP(A597,Districts!A:P,16,FALSE)</f>
        <v>VGZTHEKMPB95</v>
      </c>
      <c r="F597" s="1">
        <v>45200</v>
      </c>
      <c r="G597" t="s">
        <v>529</v>
      </c>
      <c r="H597" t="s">
        <v>530</v>
      </c>
      <c r="I597" s="59">
        <f>_xlfn.IFNA(VLOOKUP(A597,'619'!D:F,3,FALSE),0)</f>
        <v>1443.06</v>
      </c>
      <c r="J597" s="59">
        <f>_xlfn.IFNA(VLOOKUP(A597,'619'!D:Q,14,FALSE),0)</f>
        <v>3695.67</v>
      </c>
      <c r="K597" s="59">
        <f>_xlfn.IFNA(VLOOKUP(A597,'619'!D:Q,14,FALSE),0)</f>
        <v>3695.67</v>
      </c>
      <c r="O597" t="s">
        <v>531</v>
      </c>
      <c r="P597" t="str">
        <f>_xlfn.IFNA(VLOOKUP(A597,IndirectCost!B:L,11,FALSE),"")</f>
        <v/>
      </c>
      <c r="Q597">
        <f t="shared" si="9"/>
        <v>0</v>
      </c>
    </row>
    <row r="598" spans="1:17">
      <c r="A598" t="s">
        <v>1265</v>
      </c>
      <c r="B598" t="s">
        <v>1266</v>
      </c>
      <c r="C598" t="str">
        <f>VLOOKUP(A598,Districts!A:I,9,FALSE)</f>
        <v>Trivium Preparatory Academy</v>
      </c>
      <c r="D598" t="str">
        <f>VLOOKUP(A598,Districts!A:P,16,FALSE)</f>
        <v>LQF4QQG8HQ17</v>
      </c>
      <c r="F598" s="1">
        <v>45200</v>
      </c>
      <c r="G598" t="s">
        <v>529</v>
      </c>
      <c r="H598" t="s">
        <v>530</v>
      </c>
      <c r="I598" s="59">
        <f>_xlfn.IFNA(VLOOKUP(A598,'619'!D:F,3,FALSE),0)</f>
        <v>0</v>
      </c>
      <c r="J598" s="59">
        <f>_xlfn.IFNA(VLOOKUP(A598,'619'!D:Q,14,FALSE),0)</f>
        <v>0</v>
      </c>
      <c r="K598" s="59">
        <f>_xlfn.IFNA(VLOOKUP(A598,'619'!D:Q,14,FALSE),0)</f>
        <v>0</v>
      </c>
      <c r="O598" t="s">
        <v>531</v>
      </c>
      <c r="P598">
        <f>_xlfn.IFNA(VLOOKUP(A598,IndirectCost!B:L,11,FALSE),"")</f>
        <v>8</v>
      </c>
      <c r="Q598">
        <f t="shared" si="9"/>
        <v>0.08</v>
      </c>
    </row>
    <row r="599" spans="1:17">
      <c r="A599" t="s">
        <v>464</v>
      </c>
      <c r="B599" t="s">
        <v>1267</v>
      </c>
      <c r="C599" t="str">
        <f>VLOOKUP(A599,Districts!A:I,9,FALSE)</f>
        <v>Tuba City Unified School District #15</v>
      </c>
      <c r="D599" t="str">
        <f>VLOOKUP(A599,Districts!A:P,16,FALSE)</f>
        <v>W5ZHDAXY8S79</v>
      </c>
      <c r="F599" s="1">
        <v>45200</v>
      </c>
      <c r="G599" t="s">
        <v>529</v>
      </c>
      <c r="H599" t="s">
        <v>530</v>
      </c>
      <c r="I599" s="59">
        <f>_xlfn.IFNA(VLOOKUP(A599,'619'!D:F,3,FALSE),0)</f>
        <v>8335.8700000000008</v>
      </c>
      <c r="J599" s="59">
        <f>_xlfn.IFNA(VLOOKUP(A599,'619'!D:Q,14,FALSE),0)</f>
        <v>15799.4</v>
      </c>
      <c r="K599" s="59">
        <f>_xlfn.IFNA(VLOOKUP(A599,'619'!D:Q,14,FALSE),0)</f>
        <v>15799.4</v>
      </c>
      <c r="O599" t="s">
        <v>531</v>
      </c>
      <c r="P599">
        <f>_xlfn.IFNA(VLOOKUP(A599,IndirectCost!B:L,11,FALSE),"")</f>
        <v>6.45</v>
      </c>
      <c r="Q599">
        <f t="shared" si="9"/>
        <v>6.4500000000000002E-2</v>
      </c>
    </row>
    <row r="600" spans="1:17">
      <c r="A600" t="s">
        <v>465</v>
      </c>
      <c r="B600" t="s">
        <v>1268</v>
      </c>
      <c r="C600" t="str">
        <f>VLOOKUP(A600,Districts!A:I,9,FALSE)</f>
        <v>Tucson Country Day School, Inc</v>
      </c>
      <c r="D600" t="str">
        <f>VLOOKUP(A600,Districts!A:P,16,FALSE)</f>
        <v>MQVXT5VE4TD8</v>
      </c>
      <c r="F600" s="1">
        <v>45200</v>
      </c>
      <c r="G600" t="s">
        <v>529</v>
      </c>
      <c r="H600" t="s">
        <v>530</v>
      </c>
      <c r="I600" s="59">
        <f>_xlfn.IFNA(VLOOKUP(A600,'619'!D:F,3,FALSE),0)</f>
        <v>666.62</v>
      </c>
      <c r="J600" s="59">
        <f>_xlfn.IFNA(VLOOKUP(A600,'619'!D:Q,14,FALSE),0)</f>
        <v>666.62</v>
      </c>
      <c r="K600" s="59">
        <f>_xlfn.IFNA(VLOOKUP(A600,'619'!D:Q,14,FALSE),0)</f>
        <v>666.62</v>
      </c>
      <c r="O600" t="s">
        <v>531</v>
      </c>
      <c r="P600">
        <f>_xlfn.IFNA(VLOOKUP(A600,IndirectCost!B:L,11,FALSE),"")</f>
        <v>0</v>
      </c>
      <c r="Q600">
        <f t="shared" si="9"/>
        <v>0</v>
      </c>
    </row>
    <row r="601" spans="1:17">
      <c r="A601" t="s">
        <v>466</v>
      </c>
      <c r="B601" t="s">
        <v>1269</v>
      </c>
      <c r="C601" t="str">
        <f>VLOOKUP(A601,Districts!A:I,9,FALSE)</f>
        <v>Tucson International Academy</v>
      </c>
      <c r="D601" t="str">
        <f>VLOOKUP(A601,Districts!A:P,16,FALSE)</f>
        <v>C1FHKM58AAS8</v>
      </c>
      <c r="F601" s="1">
        <v>45200</v>
      </c>
      <c r="G601" t="s">
        <v>529</v>
      </c>
      <c r="H601" t="s">
        <v>530</v>
      </c>
      <c r="I601" s="59">
        <f>_xlfn.IFNA(VLOOKUP(A601,'619'!D:F,3,FALSE),0)</f>
        <v>924.66</v>
      </c>
      <c r="J601" s="59">
        <f>_xlfn.IFNA(VLOOKUP(A601,'619'!D:Q,14,FALSE),0)</f>
        <v>924.66</v>
      </c>
      <c r="K601" s="59">
        <f>_xlfn.IFNA(VLOOKUP(A601,'619'!D:Q,14,FALSE),0)</f>
        <v>924.66</v>
      </c>
      <c r="O601" t="s">
        <v>531</v>
      </c>
      <c r="P601">
        <f>_xlfn.IFNA(VLOOKUP(A601,IndirectCost!B:L,11,FALSE),"")</f>
        <v>8</v>
      </c>
      <c r="Q601">
        <f t="shared" si="9"/>
        <v>0.08</v>
      </c>
    </row>
    <row r="602" spans="1:17">
      <c r="A602" t="s">
        <v>1270</v>
      </c>
      <c r="B602" t="s">
        <v>1271</v>
      </c>
      <c r="C602" t="str">
        <f>VLOOKUP(A602,Districts!A:I,9,FALSE)</f>
        <v>Tucson Preparatory School</v>
      </c>
      <c r="D602" t="str">
        <f>VLOOKUP(A602,Districts!A:P,16,FALSE)</f>
        <v>MW48FPFYB3E5</v>
      </c>
      <c r="F602" s="1">
        <v>45200</v>
      </c>
      <c r="G602" t="s">
        <v>529</v>
      </c>
      <c r="H602" t="s">
        <v>530</v>
      </c>
      <c r="I602" s="59">
        <f>_xlfn.IFNA(VLOOKUP(A602,'619'!D:F,3,FALSE),0)</f>
        <v>0</v>
      </c>
      <c r="J602" s="59">
        <f>_xlfn.IFNA(VLOOKUP(A602,'619'!D:Q,14,FALSE),0)</f>
        <v>0</v>
      </c>
      <c r="K602" s="59">
        <f>_xlfn.IFNA(VLOOKUP(A602,'619'!D:Q,14,FALSE),0)</f>
        <v>0</v>
      </c>
      <c r="O602" t="s">
        <v>531</v>
      </c>
      <c r="P602" t="str">
        <f>_xlfn.IFNA(VLOOKUP(A602,IndirectCost!B:L,11,FALSE),"")</f>
        <v/>
      </c>
      <c r="Q602">
        <f t="shared" si="9"/>
        <v>0</v>
      </c>
    </row>
    <row r="603" spans="1:17">
      <c r="A603" t="s">
        <v>467</v>
      </c>
      <c r="B603" t="s">
        <v>1272</v>
      </c>
      <c r="C603" t="str">
        <f>VLOOKUP(A603,Districts!A:I,9,FALSE)</f>
        <v>Tucson Unified School District</v>
      </c>
      <c r="D603" t="str">
        <f>VLOOKUP(A603,Districts!A:P,16,FALSE)</f>
        <v>J1PVZD6TFYN8</v>
      </c>
      <c r="F603" s="1">
        <v>45200</v>
      </c>
      <c r="G603" t="s">
        <v>529</v>
      </c>
      <c r="H603" t="s">
        <v>530</v>
      </c>
      <c r="I603" s="59">
        <f>_xlfn.IFNA(VLOOKUP(A603,'619'!D:F,3,FALSE),0)</f>
        <v>276069.53000000003</v>
      </c>
      <c r="J603" s="59">
        <f>_xlfn.IFNA(VLOOKUP(A603,'619'!D:Q,14,FALSE),0)</f>
        <v>458364.53</v>
      </c>
      <c r="K603" s="59">
        <f>_xlfn.IFNA(VLOOKUP(A603,'619'!D:Q,14,FALSE),0)</f>
        <v>458364.53</v>
      </c>
      <c r="O603" t="s">
        <v>531</v>
      </c>
      <c r="P603">
        <f>_xlfn.IFNA(VLOOKUP(A603,IndirectCost!B:L,11,FALSE),"")</f>
        <v>3.52</v>
      </c>
      <c r="Q603">
        <f t="shared" si="9"/>
        <v>3.5200000000000002E-2</v>
      </c>
    </row>
    <row r="604" spans="1:17">
      <c r="A604" t="s">
        <v>1273</v>
      </c>
      <c r="B604" t="s">
        <v>1274</v>
      </c>
      <c r="C604" t="str">
        <f>VLOOKUP(A604,Districts!A:I,9,FALSE)</f>
        <v>TUCSON YOUTH DEVELOPMENT INC</v>
      </c>
      <c r="D604" t="str">
        <f>VLOOKUP(A604,Districts!A:P,16,FALSE)</f>
        <v>NLW3JWQYME45</v>
      </c>
      <c r="F604" s="1">
        <v>45200</v>
      </c>
      <c r="G604" t="s">
        <v>529</v>
      </c>
      <c r="H604" t="s">
        <v>530</v>
      </c>
      <c r="I604" s="59">
        <f>_xlfn.IFNA(VLOOKUP(A604,'619'!D:F,3,FALSE),0)</f>
        <v>0</v>
      </c>
      <c r="J604" s="59">
        <f>_xlfn.IFNA(VLOOKUP(A604,'619'!D:Q,14,FALSE),0)</f>
        <v>0</v>
      </c>
      <c r="K604" s="59">
        <f>_xlfn.IFNA(VLOOKUP(A604,'619'!D:Q,14,FALSE),0)</f>
        <v>0</v>
      </c>
      <c r="O604" t="s">
        <v>531</v>
      </c>
      <c r="P604">
        <f>_xlfn.IFNA(VLOOKUP(A604,IndirectCost!B:L,11,FALSE),"")</f>
        <v>8</v>
      </c>
      <c r="Q604">
        <f t="shared" si="9"/>
        <v>0.08</v>
      </c>
    </row>
    <row r="605" spans="1:17">
      <c r="A605" t="s">
        <v>468</v>
      </c>
      <c r="B605" t="s">
        <v>1275</v>
      </c>
      <c r="C605" t="str">
        <f>VLOOKUP(A605,Districts!A:I,9,FALSE)</f>
        <v>21st  Century Charter Schools, Inc</v>
      </c>
      <c r="D605" t="str">
        <f>VLOOKUP(A605,Districts!A:P,16,FALSE)</f>
        <v>GDKHDN3LGGN6</v>
      </c>
      <c r="F605" s="1">
        <v>45200</v>
      </c>
      <c r="G605" t="s">
        <v>529</v>
      </c>
      <c r="H605" t="s">
        <v>530</v>
      </c>
      <c r="I605" s="59">
        <f>_xlfn.IFNA(VLOOKUP(A605,'619'!D:F,3,FALSE),0)</f>
        <v>429.19</v>
      </c>
      <c r="J605" s="59">
        <f>_xlfn.IFNA(VLOOKUP(A605,'619'!D:Q,14,FALSE),0)</f>
        <v>429.19</v>
      </c>
      <c r="K605" s="59">
        <f>_xlfn.IFNA(VLOOKUP(A605,'619'!D:Q,14,FALSE),0)</f>
        <v>429.19</v>
      </c>
      <c r="O605" t="s">
        <v>531</v>
      </c>
      <c r="P605" t="str">
        <f>_xlfn.IFNA(VLOOKUP(A605,IndirectCost!B:L,11,FALSE),"")</f>
        <v/>
      </c>
      <c r="Q605">
        <f t="shared" si="9"/>
        <v>0</v>
      </c>
    </row>
    <row r="606" spans="1:17">
      <c r="A606" t="s">
        <v>469</v>
      </c>
      <c r="B606" t="s">
        <v>1276</v>
      </c>
      <c r="C606" t="str">
        <f>VLOOKUP(A606,Districts!A:I,9,FALSE)</f>
        <v>Union Elementary School District #62</v>
      </c>
      <c r="D606" t="str">
        <f>VLOOKUP(A606,Districts!A:P,16,FALSE)</f>
        <v>NX7CD8GR2S41</v>
      </c>
      <c r="F606" s="1">
        <v>45200</v>
      </c>
      <c r="G606" t="s">
        <v>529</v>
      </c>
      <c r="H606" t="s">
        <v>530</v>
      </c>
      <c r="I606" s="59">
        <f>_xlfn.IFNA(VLOOKUP(A606,'619'!D:F,3,FALSE),0)</f>
        <v>2266.2600000000002</v>
      </c>
      <c r="J606" s="59">
        <f>_xlfn.IFNA(VLOOKUP(A606,'619'!D:Q,14,FALSE),0)</f>
        <v>4346.45</v>
      </c>
      <c r="K606" s="59">
        <f>_xlfn.IFNA(VLOOKUP(A606,'619'!D:Q,14,FALSE),0)</f>
        <v>4346.45</v>
      </c>
      <c r="O606" t="s">
        <v>531</v>
      </c>
      <c r="P606">
        <f>_xlfn.IFNA(VLOOKUP(A606,IndirectCost!B:L,11,FALSE),"")</f>
        <v>5.6</v>
      </c>
      <c r="Q606">
        <f t="shared" si="9"/>
        <v>5.5999999999999994E-2</v>
      </c>
    </row>
    <row r="607" spans="1:17">
      <c r="A607" t="s">
        <v>470</v>
      </c>
      <c r="B607" t="s">
        <v>1277</v>
      </c>
      <c r="C607" t="str">
        <f>VLOOKUP(A607,Districts!A:I,9,FALSE)</f>
        <v>VAIL UNIFIED SCHOOL DISTRICT 20</v>
      </c>
      <c r="D607" t="str">
        <f>VLOOKUP(A607,Districts!A:P,16,FALSE)</f>
        <v>NWUJEKLHGM17</v>
      </c>
      <c r="F607" s="1">
        <v>45200</v>
      </c>
      <c r="G607" t="s">
        <v>529</v>
      </c>
      <c r="H607" t="s">
        <v>530</v>
      </c>
      <c r="I607" s="59">
        <f>_xlfn.IFNA(VLOOKUP(A607,'619'!D:F,3,FALSE),0)</f>
        <v>33558.32</v>
      </c>
      <c r="J607" s="59">
        <f>_xlfn.IFNA(VLOOKUP(A607,'619'!D:Q,14,FALSE),0)</f>
        <v>44612.73</v>
      </c>
      <c r="K607" s="59">
        <f>_xlfn.IFNA(VLOOKUP(A607,'619'!D:Q,14,FALSE),0)</f>
        <v>44612.73</v>
      </c>
      <c r="O607" t="s">
        <v>531</v>
      </c>
      <c r="P607">
        <f>_xlfn.IFNA(VLOOKUP(A607,IndirectCost!B:L,11,FALSE),"")</f>
        <v>3.83</v>
      </c>
      <c r="Q607">
        <f t="shared" si="9"/>
        <v>3.8300000000000001E-2</v>
      </c>
    </row>
    <row r="608" spans="1:17">
      <c r="A608" t="s">
        <v>471</v>
      </c>
      <c r="B608" t="s">
        <v>1278</v>
      </c>
      <c r="C608" t="str">
        <f>VLOOKUP(A608,Districts!A:I,9,FALSE)</f>
        <v>Valentine Elementary School District 22</v>
      </c>
      <c r="D608">
        <f>VLOOKUP(A608,Districts!A:P,16,FALSE)</f>
        <v>0</v>
      </c>
      <c r="F608" s="1">
        <v>45200</v>
      </c>
      <c r="G608" t="s">
        <v>529</v>
      </c>
      <c r="H608" t="s">
        <v>530</v>
      </c>
      <c r="I608" s="59">
        <f>_xlfn.IFNA(VLOOKUP(A608,'619'!D:F,3,FALSE),0)</f>
        <v>300.52999999999997</v>
      </c>
      <c r="J608" s="59">
        <f>_xlfn.IFNA(VLOOKUP(A608,'619'!D:Q,14,FALSE),0)</f>
        <v>300.52999999999997</v>
      </c>
      <c r="K608" s="59">
        <f>_xlfn.IFNA(VLOOKUP(A608,'619'!D:Q,14,FALSE),0)</f>
        <v>300.52999999999997</v>
      </c>
      <c r="O608" t="s">
        <v>531</v>
      </c>
      <c r="P608" t="str">
        <f>_xlfn.IFNA(VLOOKUP(A608,IndirectCost!B:L,11,FALSE),"")</f>
        <v/>
      </c>
      <c r="Q608">
        <f t="shared" si="9"/>
        <v>0</v>
      </c>
    </row>
    <row r="609" spans="1:17">
      <c r="A609" t="s">
        <v>472</v>
      </c>
      <c r="B609" t="s">
        <v>1279</v>
      </c>
      <c r="C609" t="str">
        <f>VLOOKUP(A609,Districts!A:I,9,FALSE)</f>
        <v>Valley of the Sun Waldorf Education Association</v>
      </c>
      <c r="D609" t="str">
        <f>VLOOKUP(A609,Districts!A:P,16,FALSE)</f>
        <v>MCGSMX43BGN3</v>
      </c>
      <c r="F609" s="1">
        <v>45200</v>
      </c>
      <c r="G609" t="s">
        <v>529</v>
      </c>
      <c r="H609" t="s">
        <v>530</v>
      </c>
      <c r="I609" s="59">
        <f>_xlfn.IFNA(VLOOKUP(A609,'619'!D:F,3,FALSE),0)</f>
        <v>1839.63</v>
      </c>
      <c r="J609" s="59">
        <f>_xlfn.IFNA(VLOOKUP(A609,'619'!D:Q,14,FALSE),0)</f>
        <v>0</v>
      </c>
      <c r="K609" s="59">
        <f>_xlfn.IFNA(VLOOKUP(A609,'619'!D:Q,14,FALSE),0)</f>
        <v>0</v>
      </c>
      <c r="O609" t="s">
        <v>531</v>
      </c>
      <c r="P609" t="str">
        <f>_xlfn.IFNA(VLOOKUP(A609,IndirectCost!B:L,11,FALSE),"")</f>
        <v/>
      </c>
      <c r="Q609">
        <f t="shared" si="9"/>
        <v>0</v>
      </c>
    </row>
    <row r="610" spans="1:17">
      <c r="A610" t="s">
        <v>1280</v>
      </c>
      <c r="B610" t="s">
        <v>1281</v>
      </c>
      <c r="C610" t="str">
        <f>VLOOKUP(A610,Districts!A:I,9,FALSE)</f>
        <v>Valley Union High Sch Dist 22</v>
      </c>
      <c r="D610" t="str">
        <f>VLOOKUP(A610,Districts!A:P,16,FALSE)</f>
        <v>DGKNWSMN6TM7</v>
      </c>
      <c r="F610" s="1">
        <v>45200</v>
      </c>
      <c r="G610" t="s">
        <v>529</v>
      </c>
      <c r="H610" t="s">
        <v>530</v>
      </c>
      <c r="I610" s="59">
        <f>_xlfn.IFNA(VLOOKUP(A610,'619'!D:F,3,FALSE),0)</f>
        <v>0</v>
      </c>
      <c r="J610" s="59">
        <f>_xlfn.IFNA(VLOOKUP(A610,'619'!D:Q,14,FALSE),0)</f>
        <v>0</v>
      </c>
      <c r="K610" s="59">
        <f>_xlfn.IFNA(VLOOKUP(A610,'619'!D:Q,14,FALSE),0)</f>
        <v>0</v>
      </c>
      <c r="O610" t="s">
        <v>531</v>
      </c>
      <c r="P610">
        <f>_xlfn.IFNA(VLOOKUP(A610,IndirectCost!B:L,11,FALSE),"")</f>
        <v>0</v>
      </c>
      <c r="Q610">
        <f t="shared" si="9"/>
        <v>0</v>
      </c>
    </row>
    <row r="611" spans="1:17">
      <c r="A611" t="s">
        <v>1282</v>
      </c>
      <c r="B611" t="s">
        <v>1283</v>
      </c>
      <c r="C611" t="str">
        <f>VLOOKUP(A611,Districts!A:I,9,FALSE)</f>
        <v>Valor Preparatory Academy, LLC</v>
      </c>
      <c r="D611" t="str">
        <f>VLOOKUP(A611,Districts!A:P,16,FALSE)</f>
        <v>J6CYF8TJ1RC1</v>
      </c>
      <c r="F611" s="1">
        <v>45200</v>
      </c>
      <c r="G611" t="s">
        <v>529</v>
      </c>
      <c r="H611" t="s">
        <v>530</v>
      </c>
      <c r="I611" s="59">
        <f>_xlfn.IFNA(VLOOKUP(A611,'619'!D:F,3,FALSE),0)</f>
        <v>0</v>
      </c>
      <c r="J611" s="59">
        <f>_xlfn.IFNA(VLOOKUP(A611,'619'!D:Q,14,FALSE),0)</f>
        <v>0</v>
      </c>
      <c r="K611" s="59">
        <f>_xlfn.IFNA(VLOOKUP(A611,'619'!D:Q,14,FALSE),0)</f>
        <v>0</v>
      </c>
      <c r="O611" t="s">
        <v>531</v>
      </c>
      <c r="P611" t="str">
        <f>_xlfn.IFNA(VLOOKUP(A611,IndirectCost!B:L,11,FALSE),"")</f>
        <v/>
      </c>
      <c r="Q611">
        <f t="shared" si="9"/>
        <v>0</v>
      </c>
    </row>
    <row r="612" spans="1:17">
      <c r="A612" t="s">
        <v>473</v>
      </c>
      <c r="B612" t="s">
        <v>1284</v>
      </c>
      <c r="C612" t="str">
        <f>VLOOKUP(A612,Districts!A:I,9,FALSE)</f>
        <v>Vector School District, Inc.</v>
      </c>
      <c r="D612" t="str">
        <f>VLOOKUP(A612,Districts!A:P,16,FALSE)</f>
        <v>TZ4EKL2BLRV4</v>
      </c>
      <c r="F612" s="1">
        <v>45200</v>
      </c>
      <c r="G612" t="s">
        <v>529</v>
      </c>
      <c r="H612" t="s">
        <v>530</v>
      </c>
      <c r="I612" s="59">
        <f>_xlfn.IFNA(VLOOKUP(A612,'619'!D:F,3,FALSE),0)</f>
        <v>343.23</v>
      </c>
      <c r="J612" s="59">
        <f>_xlfn.IFNA(VLOOKUP(A612,'619'!D:Q,14,FALSE),0)</f>
        <v>0</v>
      </c>
      <c r="K612" s="59">
        <f>_xlfn.IFNA(VLOOKUP(A612,'619'!D:Q,14,FALSE),0)</f>
        <v>0</v>
      </c>
      <c r="O612" t="s">
        <v>531</v>
      </c>
      <c r="P612" t="str">
        <f>_xlfn.IFNA(VLOOKUP(A612,IndirectCost!B:L,11,FALSE),"")</f>
        <v/>
      </c>
      <c r="Q612">
        <f t="shared" si="9"/>
        <v>0</v>
      </c>
    </row>
    <row r="613" spans="1:17">
      <c r="A613" t="s">
        <v>1285</v>
      </c>
      <c r="B613" t="s">
        <v>1286</v>
      </c>
      <c r="C613" t="str">
        <f>VLOOKUP(A613,Districts!A:I,9,FALSE)</f>
        <v>Veritas Preparatory Academy</v>
      </c>
      <c r="D613" t="str">
        <f>VLOOKUP(A613,Districts!A:P,16,FALSE)</f>
        <v>WSD5KV1N1SK1</v>
      </c>
      <c r="F613" s="1">
        <v>45200</v>
      </c>
      <c r="G613" t="s">
        <v>529</v>
      </c>
      <c r="H613" t="s">
        <v>530</v>
      </c>
      <c r="I613" s="59">
        <f>_xlfn.IFNA(VLOOKUP(A613,'619'!D:F,3,FALSE),0)</f>
        <v>0</v>
      </c>
      <c r="J613" s="59">
        <f>_xlfn.IFNA(VLOOKUP(A613,'619'!D:Q,14,FALSE),0)</f>
        <v>0</v>
      </c>
      <c r="K613" s="59">
        <f>_xlfn.IFNA(VLOOKUP(A613,'619'!D:Q,14,FALSE),0)</f>
        <v>0</v>
      </c>
      <c r="O613" t="s">
        <v>531</v>
      </c>
      <c r="P613">
        <f>_xlfn.IFNA(VLOOKUP(A613,IndirectCost!B:L,11,FALSE),"")</f>
        <v>8</v>
      </c>
      <c r="Q613">
        <f t="shared" si="9"/>
        <v>0.08</v>
      </c>
    </row>
    <row r="614" spans="1:17">
      <c r="A614" t="s">
        <v>474</v>
      </c>
      <c r="B614" t="s">
        <v>1287</v>
      </c>
      <c r="C614" t="str">
        <f>VLOOKUP(A614,Districts!A:I,9,FALSE)</f>
        <v>Vernon Elementary School District #9</v>
      </c>
      <c r="D614" t="str">
        <f>VLOOKUP(A614,Districts!A:P,16,FALSE)</f>
        <v>SL8LN17C9YR7</v>
      </c>
      <c r="F614" s="1">
        <v>45200</v>
      </c>
      <c r="G614" t="s">
        <v>529</v>
      </c>
      <c r="H614" t="s">
        <v>530</v>
      </c>
      <c r="I614" s="59">
        <f>_xlfn.IFNA(VLOOKUP(A614,'619'!D:F,3,FALSE),0)</f>
        <v>770.38</v>
      </c>
      <c r="J614" s="59">
        <f>_xlfn.IFNA(VLOOKUP(A614,'619'!D:Q,14,FALSE),0)</f>
        <v>995.58</v>
      </c>
      <c r="K614" s="59">
        <f>_xlfn.IFNA(VLOOKUP(A614,'619'!D:Q,14,FALSE),0)</f>
        <v>995.58</v>
      </c>
      <c r="O614" t="s">
        <v>531</v>
      </c>
      <c r="P614">
        <f>_xlfn.IFNA(VLOOKUP(A614,IndirectCost!B:L,11,FALSE),"")</f>
        <v>8</v>
      </c>
      <c r="Q614">
        <f t="shared" si="9"/>
        <v>0.08</v>
      </c>
    </row>
    <row r="615" spans="1:17">
      <c r="A615" t="s">
        <v>475</v>
      </c>
      <c r="B615" t="s">
        <v>1288</v>
      </c>
      <c r="C615" t="str">
        <f>VLOOKUP(A615,Districts!A:I,9,FALSE)</f>
        <v>Victory Collegiate Academy</v>
      </c>
      <c r="D615" t="str">
        <f>VLOOKUP(A615,Districts!A:P,16,FALSE)</f>
        <v>CXLHM4Y896W9</v>
      </c>
      <c r="F615" s="1">
        <v>45200</v>
      </c>
      <c r="G615" t="s">
        <v>529</v>
      </c>
      <c r="H615" t="s">
        <v>530</v>
      </c>
      <c r="I615" s="59">
        <f>_xlfn.IFNA(VLOOKUP(A615,'619'!D:F,3,FALSE),0)</f>
        <v>176.56</v>
      </c>
      <c r="J615" s="59">
        <f>_xlfn.IFNA(VLOOKUP(A615,'619'!D:Q,14,FALSE),0)</f>
        <v>0</v>
      </c>
      <c r="K615" s="59">
        <f>_xlfn.IFNA(VLOOKUP(A615,'619'!D:Q,14,FALSE),0)</f>
        <v>0</v>
      </c>
      <c r="O615" t="s">
        <v>531</v>
      </c>
      <c r="P615">
        <f>_xlfn.IFNA(VLOOKUP(A615,IndirectCost!B:L,11,FALSE),"")</f>
        <v>8</v>
      </c>
      <c r="Q615">
        <f t="shared" si="9"/>
        <v>0.08</v>
      </c>
    </row>
    <row r="616" spans="1:17">
      <c r="A616" t="s">
        <v>476</v>
      </c>
      <c r="B616" t="s">
        <v>1289</v>
      </c>
      <c r="C616" t="str">
        <f>VLOOKUP(A616,Districts!A:I,9,FALSE)</f>
        <v>Villa Montessori School</v>
      </c>
      <c r="D616" t="str">
        <f>VLOOKUP(A616,Districts!A:P,16,FALSE)</f>
        <v>JFZFTJHBJ4J3</v>
      </c>
      <c r="F616" s="1">
        <v>45200</v>
      </c>
      <c r="G616" t="s">
        <v>529</v>
      </c>
      <c r="H616" t="s">
        <v>530</v>
      </c>
      <c r="I616" s="59">
        <f>_xlfn.IFNA(VLOOKUP(A616,'619'!D:F,3,FALSE),0)</f>
        <v>536.04</v>
      </c>
      <c r="J616" s="59">
        <f>_xlfn.IFNA(VLOOKUP(A616,'619'!D:Q,14,FALSE),0)</f>
        <v>0</v>
      </c>
      <c r="K616" s="59">
        <f>_xlfn.IFNA(VLOOKUP(A616,'619'!D:Q,14,FALSE),0)</f>
        <v>0</v>
      </c>
      <c r="O616" t="s">
        <v>531</v>
      </c>
      <c r="P616" t="str">
        <f>_xlfn.IFNA(VLOOKUP(A616,IndirectCost!B:L,11,FALSE),"")</f>
        <v/>
      </c>
      <c r="Q616">
        <f t="shared" si="9"/>
        <v>0</v>
      </c>
    </row>
    <row r="617" spans="1:17">
      <c r="A617" t="s">
        <v>1290</v>
      </c>
      <c r="B617" t="s">
        <v>1291</v>
      </c>
      <c r="C617" t="str">
        <f>VLOOKUP(A617,Districts!A:I,9,FALSE)</f>
        <v>Vista Charter School</v>
      </c>
      <c r="D617" t="str">
        <f>VLOOKUP(A617,Districts!A:P,16,FALSE)</f>
        <v>UQQKBA1CTUM7</v>
      </c>
      <c r="F617" s="1">
        <v>45200</v>
      </c>
      <c r="G617" t="s">
        <v>529</v>
      </c>
      <c r="H617" t="s">
        <v>530</v>
      </c>
      <c r="I617" s="59">
        <f>_xlfn.IFNA(VLOOKUP(A617,'619'!D:F,3,FALSE),0)</f>
        <v>0</v>
      </c>
      <c r="J617" s="59">
        <f>_xlfn.IFNA(VLOOKUP(A617,'619'!D:Q,14,FALSE),0)</f>
        <v>0</v>
      </c>
      <c r="K617" s="59">
        <f>_xlfn.IFNA(VLOOKUP(A617,'619'!D:Q,14,FALSE),0)</f>
        <v>0</v>
      </c>
      <c r="O617" t="s">
        <v>531</v>
      </c>
      <c r="P617" t="str">
        <f>_xlfn.IFNA(VLOOKUP(A617,IndirectCost!B:L,11,FALSE),"")</f>
        <v/>
      </c>
      <c r="Q617">
        <f t="shared" si="9"/>
        <v>0</v>
      </c>
    </row>
    <row r="618" spans="1:17">
      <c r="A618" t="s">
        <v>477</v>
      </c>
      <c r="B618" t="s">
        <v>1292</v>
      </c>
      <c r="C618" t="str">
        <f>VLOOKUP(A618,Districts!A:I,9,FALSE)</f>
        <v>Vista College Preparatory</v>
      </c>
      <c r="D618" t="str">
        <f>VLOOKUP(A618,Districts!A:P,16,FALSE)</f>
        <v>J8KMFLNXNDK8</v>
      </c>
      <c r="F618" s="1">
        <v>45200</v>
      </c>
      <c r="G618" t="s">
        <v>529</v>
      </c>
      <c r="H618" t="s">
        <v>530</v>
      </c>
      <c r="I618" s="59">
        <f>_xlfn.IFNA(VLOOKUP(A618,'619'!D:F,3,FALSE),0)</f>
        <v>2089.06</v>
      </c>
      <c r="J618" s="59">
        <f>_xlfn.IFNA(VLOOKUP(A618,'619'!D:Q,14,FALSE),0)</f>
        <v>0</v>
      </c>
      <c r="K618" s="59">
        <f>_xlfn.IFNA(VLOOKUP(A618,'619'!D:Q,14,FALSE),0)</f>
        <v>0</v>
      </c>
      <c r="O618" t="s">
        <v>531</v>
      </c>
      <c r="P618">
        <f>_xlfn.IFNA(VLOOKUP(A618,IndirectCost!B:L,11,FALSE),"")</f>
        <v>8</v>
      </c>
      <c r="Q618">
        <f t="shared" si="9"/>
        <v>0.08</v>
      </c>
    </row>
    <row r="619" spans="1:17">
      <c r="A619" t="s">
        <v>478</v>
      </c>
      <c r="B619" t="s">
        <v>1293</v>
      </c>
      <c r="C619" t="str">
        <f>VLOOKUP(A619,Districts!A:I,9,FALSE)</f>
        <v>Washington Elementary School District #6</v>
      </c>
      <c r="D619" t="str">
        <f>VLOOKUP(A619,Districts!A:P,16,FALSE)</f>
        <v>CJ2VKCAXHF44</v>
      </c>
      <c r="F619" s="1">
        <v>45200</v>
      </c>
      <c r="G619" t="s">
        <v>529</v>
      </c>
      <c r="H619" t="s">
        <v>530</v>
      </c>
      <c r="I619" s="59">
        <f>_xlfn.IFNA(VLOOKUP(A619,'619'!D:F,3,FALSE),0)</f>
        <v>229321.93</v>
      </c>
      <c r="J619" s="59">
        <f>_xlfn.IFNA(VLOOKUP(A619,'619'!D:Q,14,FALSE),0)</f>
        <v>321016.2</v>
      </c>
      <c r="K619" s="59">
        <f>_xlfn.IFNA(VLOOKUP(A619,'619'!D:Q,14,FALSE),0)</f>
        <v>321016.2</v>
      </c>
      <c r="O619" t="s">
        <v>531</v>
      </c>
      <c r="P619">
        <f>_xlfn.IFNA(VLOOKUP(A619,IndirectCost!B:L,11,FALSE),"")</f>
        <v>4.7300000000000004</v>
      </c>
      <c r="Q619">
        <f t="shared" si="9"/>
        <v>4.7300000000000002E-2</v>
      </c>
    </row>
    <row r="620" spans="1:17">
      <c r="A620" t="s">
        <v>479</v>
      </c>
      <c r="B620" t="s">
        <v>1294</v>
      </c>
      <c r="C620" t="str">
        <f>VLOOKUP(A620,Districts!A:I,9,FALSE)</f>
        <v>Wellton Elementary School District</v>
      </c>
      <c r="D620" t="str">
        <f>VLOOKUP(A620,Districts!A:P,16,FALSE)</f>
        <v>M27NVZ7A8KJ6</v>
      </c>
      <c r="F620" s="1">
        <v>45200</v>
      </c>
      <c r="G620" t="s">
        <v>529</v>
      </c>
      <c r="H620" t="s">
        <v>530</v>
      </c>
      <c r="I620" s="59">
        <f>_xlfn.IFNA(VLOOKUP(A620,'619'!D:F,3,FALSE),0)</f>
        <v>1176.3800000000001</v>
      </c>
      <c r="J620" s="59">
        <f>_xlfn.IFNA(VLOOKUP(A620,'619'!D:Q,14,FALSE),0)</f>
        <v>1176.3800000000001</v>
      </c>
      <c r="K620" s="59">
        <f>_xlfn.IFNA(VLOOKUP(A620,'619'!D:Q,14,FALSE),0)</f>
        <v>1176.3800000000001</v>
      </c>
      <c r="O620" t="s">
        <v>531</v>
      </c>
      <c r="P620" t="str">
        <f>_xlfn.IFNA(VLOOKUP(A620,IndirectCost!B:L,11,FALSE),"")</f>
        <v/>
      </c>
      <c r="Q620">
        <f t="shared" si="9"/>
        <v>0</v>
      </c>
    </row>
    <row r="621" spans="1:17">
      <c r="A621" t="s">
        <v>480</v>
      </c>
      <c r="B621" t="s">
        <v>1295</v>
      </c>
      <c r="C621" t="str">
        <f>VLOOKUP(A621,Districts!A:I,9,FALSE)</f>
        <v>WENDEN ELEMENTARY SCHOOL DISTRICT</v>
      </c>
      <c r="D621" t="str">
        <f>VLOOKUP(A621,Districts!A:P,16,FALSE)</f>
        <v>D5JJD893NDK9</v>
      </c>
      <c r="F621" s="1">
        <v>45200</v>
      </c>
      <c r="G621" t="s">
        <v>529</v>
      </c>
      <c r="H621" t="s">
        <v>530</v>
      </c>
      <c r="I621" s="59">
        <f>_xlfn.IFNA(VLOOKUP(A621,'619'!D:F,3,FALSE),0)</f>
        <v>2829.52</v>
      </c>
      <c r="J621" s="59">
        <f>_xlfn.IFNA(VLOOKUP(A621,'619'!D:Q,14,FALSE),0)</f>
        <v>2829.52</v>
      </c>
      <c r="K621" s="59">
        <f>_xlfn.IFNA(VLOOKUP(A621,'619'!D:Q,14,FALSE),0)</f>
        <v>2829.52</v>
      </c>
      <c r="O621" t="s">
        <v>531</v>
      </c>
      <c r="P621" t="str">
        <f>_xlfn.IFNA(VLOOKUP(A621,IndirectCost!B:L,11,FALSE),"")</f>
        <v/>
      </c>
      <c r="Q621">
        <f t="shared" si="9"/>
        <v>0</v>
      </c>
    </row>
    <row r="622" spans="1:17">
      <c r="A622" t="s">
        <v>481</v>
      </c>
      <c r="B622" t="s">
        <v>1296</v>
      </c>
      <c r="C622" t="str">
        <f>VLOOKUP(A622,Districts!A:I,9,FALSE)</f>
        <v>West Gilbert Charter Elementary School, INC</v>
      </c>
      <c r="D622" t="str">
        <f>VLOOKUP(A622,Districts!A:P,16,FALSE)</f>
        <v>X377MKFHM8K3</v>
      </c>
      <c r="F622" s="1">
        <v>45200</v>
      </c>
      <c r="G622" t="s">
        <v>529</v>
      </c>
      <c r="H622" t="s">
        <v>530</v>
      </c>
      <c r="I622" s="59">
        <f>_xlfn.IFNA(VLOOKUP(A622,'619'!D:F,3,FALSE),0)</f>
        <v>680.88</v>
      </c>
      <c r="J622" s="59">
        <f>_xlfn.IFNA(VLOOKUP(A622,'619'!D:Q,14,FALSE),0)</f>
        <v>1480.9</v>
      </c>
      <c r="K622" s="59">
        <f>_xlfn.IFNA(VLOOKUP(A622,'619'!D:Q,14,FALSE),0)</f>
        <v>1480.9</v>
      </c>
      <c r="O622" t="s">
        <v>531</v>
      </c>
      <c r="P622" t="str">
        <f>_xlfn.IFNA(VLOOKUP(A622,IndirectCost!B:L,11,FALSE),"")</f>
        <v/>
      </c>
      <c r="Q622">
        <f t="shared" si="9"/>
        <v>0</v>
      </c>
    </row>
    <row r="623" spans="1:17">
      <c r="A623" t="s">
        <v>482</v>
      </c>
      <c r="B623" t="s">
        <v>1297</v>
      </c>
      <c r="C623" t="str">
        <f>VLOOKUP(A623,Districts!A:I,9,FALSE)</f>
        <v>West Gilbert Charter Schools</v>
      </c>
      <c r="D623" t="str">
        <f>VLOOKUP(A623,Districts!A:P,16,FALSE)</f>
        <v>K7MSPLMEN8Y5</v>
      </c>
      <c r="F623" s="1">
        <v>45200</v>
      </c>
      <c r="G623" t="s">
        <v>529</v>
      </c>
      <c r="H623" t="s">
        <v>530</v>
      </c>
      <c r="I623" s="59">
        <f>_xlfn.IFNA(VLOOKUP(A623,'619'!D:F,3,FALSE),0)</f>
        <v>33.54</v>
      </c>
      <c r="J623" s="59">
        <f>_xlfn.IFNA(VLOOKUP(A623,'619'!D:Q,14,FALSE),0)</f>
        <v>0</v>
      </c>
      <c r="K623" s="59">
        <f>_xlfn.IFNA(VLOOKUP(A623,'619'!D:Q,14,FALSE),0)</f>
        <v>0</v>
      </c>
      <c r="O623" t="s">
        <v>531</v>
      </c>
      <c r="P623" t="str">
        <f>_xlfn.IFNA(VLOOKUP(A623,IndirectCost!B:L,11,FALSE),"")</f>
        <v/>
      </c>
      <c r="Q623">
        <f t="shared" si="9"/>
        <v>0</v>
      </c>
    </row>
    <row r="624" spans="1:17">
      <c r="A624" t="s">
        <v>483</v>
      </c>
      <c r="B624" t="s">
        <v>1298</v>
      </c>
      <c r="C624" t="str">
        <f>VLOOKUP(A624,Districts!A:I,9,FALSE)</f>
        <v>West Valley Arts &amp; Technology Academy Inc.</v>
      </c>
      <c r="D624" t="str">
        <f>VLOOKUP(A624,Districts!A:P,16,FALSE)</f>
        <v>J44BKRF1J9W4</v>
      </c>
      <c r="F624" s="1">
        <v>45200</v>
      </c>
      <c r="G624" t="s">
        <v>529</v>
      </c>
      <c r="H624" t="s">
        <v>530</v>
      </c>
      <c r="I624" s="59">
        <f>_xlfn.IFNA(VLOOKUP(A624,'619'!D:F,3,FALSE),0)</f>
        <v>385.85</v>
      </c>
      <c r="J624" s="59">
        <f>_xlfn.IFNA(VLOOKUP(A624,'619'!D:Q,14,FALSE),0)</f>
        <v>843.43</v>
      </c>
      <c r="K624" s="59">
        <f>_xlfn.IFNA(VLOOKUP(A624,'619'!D:Q,14,FALSE),0)</f>
        <v>843.43</v>
      </c>
      <c r="O624" t="s">
        <v>531</v>
      </c>
      <c r="P624">
        <f>_xlfn.IFNA(VLOOKUP(A624,IndirectCost!B:L,11,FALSE),"")</f>
        <v>8</v>
      </c>
      <c r="Q624">
        <f t="shared" si="9"/>
        <v>0.08</v>
      </c>
    </row>
    <row r="625" spans="1:17">
      <c r="A625" t="s">
        <v>1299</v>
      </c>
      <c r="B625" t="s">
        <v>1300</v>
      </c>
      <c r="C625" t="str">
        <f>VLOOKUP(A625,Districts!A:I,9,FALSE)</f>
        <v>Western School of Science and Technology, Inc.</v>
      </c>
      <c r="D625" t="str">
        <f>VLOOKUP(A625,Districts!A:P,16,FALSE)</f>
        <v>FMRPLS5EQ8J3</v>
      </c>
      <c r="F625" s="1">
        <v>45200</v>
      </c>
      <c r="G625" t="s">
        <v>529</v>
      </c>
      <c r="H625" t="s">
        <v>530</v>
      </c>
      <c r="I625" s="59">
        <f>_xlfn.IFNA(VLOOKUP(A625,'619'!D:F,3,FALSE),0)</f>
        <v>0</v>
      </c>
      <c r="J625" s="59">
        <f>_xlfn.IFNA(VLOOKUP(A625,'619'!D:Q,14,FALSE),0)</f>
        <v>0</v>
      </c>
      <c r="K625" s="59">
        <f>_xlfn.IFNA(VLOOKUP(A625,'619'!D:Q,14,FALSE),0)</f>
        <v>0</v>
      </c>
      <c r="O625" t="s">
        <v>531</v>
      </c>
      <c r="P625" t="str">
        <f>_xlfn.IFNA(VLOOKUP(A625,IndirectCost!B:L,11,FALSE),"")</f>
        <v/>
      </c>
      <c r="Q625">
        <f t="shared" si="9"/>
        <v>0</v>
      </c>
    </row>
    <row r="626" spans="1:17">
      <c r="A626" t="s">
        <v>484</v>
      </c>
      <c r="B626" t="s">
        <v>1301</v>
      </c>
      <c r="C626" t="str">
        <f>VLOOKUP(A626,Districts!A:I,9,FALSE)</f>
        <v>WHITERIVER UNIFIED SCHOOL DISTRICT 20</v>
      </c>
      <c r="D626" t="str">
        <f>VLOOKUP(A626,Districts!A:P,16,FALSE)</f>
        <v>JW82B5EJ88A9</v>
      </c>
      <c r="F626" s="1">
        <v>45200</v>
      </c>
      <c r="G626" t="s">
        <v>529</v>
      </c>
      <c r="H626" t="s">
        <v>530</v>
      </c>
      <c r="I626" s="59">
        <f>_xlfn.IFNA(VLOOKUP(A626,'619'!D:F,3,FALSE),0)</f>
        <v>17274.439999999999</v>
      </c>
      <c r="J626" s="59">
        <f>_xlfn.IFNA(VLOOKUP(A626,'619'!D:Q,14,FALSE),0)</f>
        <v>31533.56</v>
      </c>
      <c r="K626" s="59">
        <f>_xlfn.IFNA(VLOOKUP(A626,'619'!D:Q,14,FALSE),0)</f>
        <v>31533.56</v>
      </c>
      <c r="O626" t="s">
        <v>531</v>
      </c>
      <c r="P626">
        <f>_xlfn.IFNA(VLOOKUP(A626,IndirectCost!B:L,11,FALSE),"")</f>
        <v>8</v>
      </c>
      <c r="Q626">
        <f t="shared" si="9"/>
        <v>0.08</v>
      </c>
    </row>
    <row r="627" spans="1:17">
      <c r="A627" t="s">
        <v>485</v>
      </c>
      <c r="B627" t="s">
        <v>1302</v>
      </c>
      <c r="C627" t="str">
        <f>VLOOKUP(A627,Districts!A:I,9,FALSE)</f>
        <v>Wickenburg Unified School District #9</v>
      </c>
      <c r="D627" t="str">
        <f>VLOOKUP(A627,Districts!A:P,16,FALSE)</f>
        <v>L356EU6UC7L4</v>
      </c>
      <c r="F627" s="1">
        <v>45200</v>
      </c>
      <c r="G627" t="s">
        <v>529</v>
      </c>
      <c r="H627" t="s">
        <v>530</v>
      </c>
      <c r="I627" s="59">
        <f>_xlfn.IFNA(VLOOKUP(A627,'619'!D:F,3,FALSE),0)</f>
        <v>3785.02</v>
      </c>
      <c r="J627" s="59">
        <f>_xlfn.IFNA(VLOOKUP(A627,'619'!D:Q,14,FALSE),0)</f>
        <v>5848.8</v>
      </c>
      <c r="K627" s="59">
        <f>_xlfn.IFNA(VLOOKUP(A627,'619'!D:Q,14,FALSE),0)</f>
        <v>5848.8</v>
      </c>
      <c r="O627" t="s">
        <v>531</v>
      </c>
      <c r="P627">
        <f>_xlfn.IFNA(VLOOKUP(A627,IndirectCost!B:L,11,FALSE),"")</f>
        <v>2.35</v>
      </c>
      <c r="Q627">
        <f t="shared" si="9"/>
        <v>2.35E-2</v>
      </c>
    </row>
    <row r="628" spans="1:17">
      <c r="A628" t="s">
        <v>486</v>
      </c>
      <c r="B628" t="s">
        <v>1303</v>
      </c>
      <c r="C628" t="str">
        <f>VLOOKUP(A628,Districts!A:I,9,FALSE)</f>
        <v>Willcox Unified School District #13</v>
      </c>
      <c r="D628" t="str">
        <f>VLOOKUP(A628,Districts!A:P,16,FALSE)</f>
        <v>NFAUJYAM4VW1</v>
      </c>
      <c r="F628" s="1">
        <v>45200</v>
      </c>
      <c r="G628" t="s">
        <v>529</v>
      </c>
      <c r="H628" t="s">
        <v>530</v>
      </c>
      <c r="I628" s="59">
        <f>_xlfn.IFNA(VLOOKUP(A628,'619'!D:F,3,FALSE),0)</f>
        <v>5044.26</v>
      </c>
      <c r="J628" s="59">
        <f>_xlfn.IFNA(VLOOKUP(A628,'619'!D:Q,14,FALSE),0)</f>
        <v>5429.25</v>
      </c>
      <c r="K628" s="59">
        <f>_xlfn.IFNA(VLOOKUP(A628,'619'!D:Q,14,FALSE),0)</f>
        <v>5429.25</v>
      </c>
      <c r="O628" t="s">
        <v>531</v>
      </c>
      <c r="P628">
        <f>_xlfn.IFNA(VLOOKUP(A628,IndirectCost!B:L,11,FALSE),"")</f>
        <v>8</v>
      </c>
      <c r="Q628">
        <f t="shared" si="9"/>
        <v>0.08</v>
      </c>
    </row>
    <row r="629" spans="1:17">
      <c r="A629" t="s">
        <v>487</v>
      </c>
      <c r="B629" t="s">
        <v>1304</v>
      </c>
      <c r="C629" t="str">
        <f>VLOOKUP(A629,Districts!A:I,9,FALSE)</f>
        <v>Williams Unified School District #2</v>
      </c>
      <c r="D629" t="str">
        <f>VLOOKUP(A629,Districts!A:P,16,FALSE)</f>
        <v>FN3LCKMLPYC8</v>
      </c>
      <c r="F629" s="1">
        <v>45200</v>
      </c>
      <c r="G629" t="s">
        <v>529</v>
      </c>
      <c r="H629" t="s">
        <v>530</v>
      </c>
      <c r="I629" s="59">
        <f>_xlfn.IFNA(VLOOKUP(A629,'619'!D:F,3,FALSE),0)</f>
        <v>2442.9</v>
      </c>
      <c r="J629" s="59">
        <f>_xlfn.IFNA(VLOOKUP(A629,'619'!D:Q,14,FALSE),0)</f>
        <v>3065.21</v>
      </c>
      <c r="K629" s="59">
        <f>_xlfn.IFNA(VLOOKUP(A629,'619'!D:Q,14,FALSE),0)</f>
        <v>3065.21</v>
      </c>
      <c r="O629" t="s">
        <v>531</v>
      </c>
      <c r="P629">
        <f>_xlfn.IFNA(VLOOKUP(A629,IndirectCost!B:L,11,FALSE),"")</f>
        <v>8</v>
      </c>
      <c r="Q629">
        <f t="shared" si="9"/>
        <v>0.08</v>
      </c>
    </row>
    <row r="630" spans="1:17">
      <c r="A630" t="s">
        <v>488</v>
      </c>
      <c r="B630" t="s">
        <v>1305</v>
      </c>
      <c r="C630" t="str">
        <f>VLOOKUP(A630,Districts!A:I,9,FALSE)</f>
        <v>Wilson Elementary School District #7</v>
      </c>
      <c r="D630" t="str">
        <f>VLOOKUP(A630,Districts!A:P,16,FALSE)</f>
        <v>LV2FCT5QC3P1</v>
      </c>
      <c r="F630" s="1">
        <v>45200</v>
      </c>
      <c r="G630" t="s">
        <v>529</v>
      </c>
      <c r="H630" t="s">
        <v>530</v>
      </c>
      <c r="I630" s="59">
        <f>_xlfn.IFNA(VLOOKUP(A630,'619'!D:F,3,FALSE),0)</f>
        <v>11980.02</v>
      </c>
      <c r="J630" s="59">
        <f>_xlfn.IFNA(VLOOKUP(A630,'619'!D:Q,14,FALSE),0)</f>
        <v>11980.02</v>
      </c>
      <c r="K630" s="59">
        <f>_xlfn.IFNA(VLOOKUP(A630,'619'!D:Q,14,FALSE),0)</f>
        <v>11980.02</v>
      </c>
      <c r="O630" t="s">
        <v>531</v>
      </c>
      <c r="P630">
        <f>_xlfn.IFNA(VLOOKUP(A630,IndirectCost!B:L,11,FALSE),"")</f>
        <v>2.88</v>
      </c>
      <c r="Q630">
        <f t="shared" si="9"/>
        <v>2.8799999999999999E-2</v>
      </c>
    </row>
    <row r="631" spans="1:17">
      <c r="A631" t="s">
        <v>489</v>
      </c>
      <c r="B631" t="s">
        <v>1306</v>
      </c>
      <c r="C631" t="str">
        <f>VLOOKUP(A631,Districts!A:I,9,FALSE)</f>
        <v>Window Rock Unified School District 8</v>
      </c>
      <c r="D631" t="str">
        <f>VLOOKUP(A631,Districts!A:P,16,FALSE)</f>
        <v>Z84FS6DPMSN3</v>
      </c>
      <c r="F631" s="1">
        <v>45200</v>
      </c>
      <c r="G631" t="s">
        <v>529</v>
      </c>
      <c r="H631" t="s">
        <v>530</v>
      </c>
      <c r="I631" s="59">
        <f>_xlfn.IFNA(VLOOKUP(A631,'619'!D:F,3,FALSE),0)</f>
        <v>8026.37</v>
      </c>
      <c r="J631" s="59">
        <f>_xlfn.IFNA(VLOOKUP(A631,'619'!D:Q,14,FALSE),0)</f>
        <v>15343.97</v>
      </c>
      <c r="K631" s="59">
        <f>_xlfn.IFNA(VLOOKUP(A631,'619'!D:Q,14,FALSE),0)</f>
        <v>15343.97</v>
      </c>
      <c r="O631" t="s">
        <v>531</v>
      </c>
      <c r="P631" t="str">
        <f>_xlfn.IFNA(VLOOKUP(A631,IndirectCost!B:L,11,FALSE),"")</f>
        <v/>
      </c>
      <c r="Q631">
        <f t="shared" si="9"/>
        <v>0</v>
      </c>
    </row>
    <row r="632" spans="1:17">
      <c r="A632" t="s">
        <v>490</v>
      </c>
      <c r="B632" t="s">
        <v>1307</v>
      </c>
      <c r="C632" t="str">
        <f>VLOOKUP(A632,Districts!A:I,9,FALSE)</f>
        <v>Winslow Unified School District 1</v>
      </c>
      <c r="D632" t="str">
        <f>VLOOKUP(A632,Districts!A:P,16,FALSE)</f>
        <v>ZETHU5AAKUT4</v>
      </c>
      <c r="F632" s="1">
        <v>45200</v>
      </c>
      <c r="G632" t="s">
        <v>529</v>
      </c>
      <c r="H632" t="s">
        <v>530</v>
      </c>
      <c r="I632" s="59">
        <f>_xlfn.IFNA(VLOOKUP(A632,'619'!D:F,3,FALSE),0)</f>
        <v>7422.7</v>
      </c>
      <c r="J632" s="59">
        <f>_xlfn.IFNA(VLOOKUP(A632,'619'!D:Q,14,FALSE),0)</f>
        <v>7500.61</v>
      </c>
      <c r="K632" s="59">
        <f>_xlfn.IFNA(VLOOKUP(A632,'619'!D:Q,14,FALSE),0)</f>
        <v>7500.61</v>
      </c>
      <c r="O632" t="s">
        <v>531</v>
      </c>
      <c r="P632">
        <f>_xlfn.IFNA(VLOOKUP(A632,IndirectCost!B:L,11,FALSE),"")</f>
        <v>4.6500000000000004</v>
      </c>
      <c r="Q632">
        <f t="shared" si="9"/>
        <v>4.6500000000000007E-2</v>
      </c>
    </row>
    <row r="633" spans="1:17">
      <c r="A633" t="s">
        <v>491</v>
      </c>
      <c r="B633" t="s">
        <v>1308</v>
      </c>
      <c r="C633" t="str">
        <f>VLOOKUP(A633,Districts!A:I,9,FALSE)</f>
        <v>Yarnell Elementary School District #52</v>
      </c>
      <c r="D633" t="str">
        <f>VLOOKUP(A633,Districts!A:P,16,FALSE)</f>
        <v>KJP7AXT7YKC8</v>
      </c>
      <c r="F633" s="1">
        <v>45200</v>
      </c>
      <c r="G633" t="s">
        <v>529</v>
      </c>
      <c r="H633" t="s">
        <v>530</v>
      </c>
      <c r="I633" s="59">
        <f>_xlfn.IFNA(VLOOKUP(A633,'619'!D:F,3,FALSE),0)</f>
        <v>555.94000000000005</v>
      </c>
      <c r="J633" s="59">
        <f>_xlfn.IFNA(VLOOKUP(A633,'619'!D:Q,14,FALSE),0)</f>
        <v>573.19000000000005</v>
      </c>
      <c r="K633" s="59">
        <f>_xlfn.IFNA(VLOOKUP(A633,'619'!D:Q,14,FALSE),0)</f>
        <v>573.19000000000005</v>
      </c>
      <c r="O633" t="s">
        <v>531</v>
      </c>
      <c r="P633" t="str">
        <f>_xlfn.IFNA(VLOOKUP(A633,IndirectCost!B:L,11,FALSE),"")</f>
        <v/>
      </c>
      <c r="Q633">
        <f t="shared" si="9"/>
        <v>0</v>
      </c>
    </row>
    <row r="634" spans="1:17">
      <c r="A634" t="s">
        <v>1309</v>
      </c>
      <c r="B634" t="s">
        <v>1310</v>
      </c>
      <c r="C634" t="str">
        <f>VLOOKUP(A634,Districts!A:I,9,FALSE)</f>
        <v>YAVAPAI ACCOMMODATION SCHOOL DISTRICT</v>
      </c>
      <c r="D634" t="str">
        <f>VLOOKUP(A634,Districts!A:P,16,FALSE)</f>
        <v>KKJJHJJZJ375</v>
      </c>
      <c r="F634" s="1">
        <v>45200</v>
      </c>
      <c r="G634" t="s">
        <v>529</v>
      </c>
      <c r="H634" t="s">
        <v>530</v>
      </c>
      <c r="I634" s="59">
        <f>_xlfn.IFNA(VLOOKUP(A634,'619'!D:F,3,FALSE),0)</f>
        <v>0</v>
      </c>
      <c r="J634" s="59">
        <f>_xlfn.IFNA(VLOOKUP(A634,'619'!D:Q,14,FALSE),0)</f>
        <v>0</v>
      </c>
      <c r="K634" s="59">
        <f>_xlfn.IFNA(VLOOKUP(A634,'619'!D:Q,14,FALSE),0)</f>
        <v>0</v>
      </c>
      <c r="O634" t="s">
        <v>531</v>
      </c>
      <c r="P634" t="str">
        <f>_xlfn.IFNA(VLOOKUP(A634,IndirectCost!B:L,11,FALSE),"")</f>
        <v/>
      </c>
      <c r="Q634">
        <f t="shared" si="9"/>
        <v>0</v>
      </c>
    </row>
    <row r="635" spans="1:17">
      <c r="A635" t="s">
        <v>1311</v>
      </c>
      <c r="B635" t="s">
        <v>1312</v>
      </c>
      <c r="C635" t="str">
        <f>VLOOKUP(A635,Districts!A:I,9,FALSE)</f>
        <v>YAVAPAI, COUNTY OF</v>
      </c>
      <c r="D635" t="str">
        <f>VLOOKUP(A635,Districts!A:P,16,FALSE)</f>
        <v>H1RCC7MAXBL6</v>
      </c>
      <c r="F635" s="1">
        <v>45200</v>
      </c>
      <c r="G635" t="s">
        <v>529</v>
      </c>
      <c r="H635" t="s">
        <v>530</v>
      </c>
      <c r="I635" s="59">
        <f>_xlfn.IFNA(VLOOKUP(A635,'619'!D:F,3,FALSE),0)</f>
        <v>0</v>
      </c>
      <c r="J635" s="59">
        <f>_xlfn.IFNA(VLOOKUP(A635,'619'!D:Q,14,FALSE),0)</f>
        <v>0</v>
      </c>
      <c r="K635" s="59">
        <f>_xlfn.IFNA(VLOOKUP(A635,'619'!D:Q,14,FALSE),0)</f>
        <v>0</v>
      </c>
      <c r="O635" t="s">
        <v>531</v>
      </c>
      <c r="P635" t="str">
        <f>_xlfn.IFNA(VLOOKUP(A635,IndirectCost!B:L,11,FALSE),"")</f>
        <v/>
      </c>
      <c r="Q635">
        <f t="shared" si="9"/>
        <v>0</v>
      </c>
    </row>
    <row r="636" spans="1:17">
      <c r="A636" t="s">
        <v>1313</v>
      </c>
      <c r="B636" t="s">
        <v>1314</v>
      </c>
      <c r="C636">
        <f>VLOOKUP(A636,Districts!A:I,9,FALSE)</f>
        <v>0</v>
      </c>
      <c r="D636">
        <f>VLOOKUP(A636,Districts!A:P,16,FALSE)</f>
        <v>0</v>
      </c>
      <c r="F636" s="1">
        <v>45200</v>
      </c>
      <c r="G636" t="s">
        <v>529</v>
      </c>
      <c r="H636" t="s">
        <v>530</v>
      </c>
      <c r="I636" s="59">
        <f>_xlfn.IFNA(VLOOKUP(A636,'619'!D:F,3,FALSE),0)</f>
        <v>0</v>
      </c>
      <c r="J636" s="59">
        <f>_xlfn.IFNA(VLOOKUP(A636,'619'!D:Q,14,FALSE),0)</f>
        <v>0</v>
      </c>
      <c r="K636" s="59">
        <f>_xlfn.IFNA(VLOOKUP(A636,'619'!D:Q,14,FALSE),0)</f>
        <v>0</v>
      </c>
      <c r="O636" t="s">
        <v>531</v>
      </c>
      <c r="P636" t="str">
        <f>_xlfn.IFNA(VLOOKUP(A636,IndirectCost!B:L,11,FALSE),"")</f>
        <v/>
      </c>
      <c r="Q636">
        <f t="shared" si="9"/>
        <v>0</v>
      </c>
    </row>
    <row r="637" spans="1:17">
      <c r="A637" t="s">
        <v>492</v>
      </c>
      <c r="B637" t="s">
        <v>1315</v>
      </c>
      <c r="C637" t="str">
        <f>VLOOKUP(A637,Districts!A:I,9,FALSE)</f>
        <v>Young PUBLIC SCHOOL</v>
      </c>
      <c r="D637" t="str">
        <f>VLOOKUP(A637,Districts!A:P,16,FALSE)</f>
        <v>RL6XN7PRHXJ4</v>
      </c>
      <c r="F637" s="1">
        <v>45200</v>
      </c>
      <c r="G637" t="s">
        <v>529</v>
      </c>
      <c r="H637" t="s">
        <v>530</v>
      </c>
      <c r="I637" s="59">
        <f>_xlfn.IFNA(VLOOKUP(A637,'619'!D:F,3,FALSE),0)</f>
        <v>1426.77</v>
      </c>
      <c r="J637" s="59">
        <f>_xlfn.IFNA(VLOOKUP(A637,'619'!D:Q,14,FALSE),0)</f>
        <v>1426.77</v>
      </c>
      <c r="K637" s="59">
        <f>_xlfn.IFNA(VLOOKUP(A637,'619'!D:Q,14,FALSE),0)</f>
        <v>1426.77</v>
      </c>
      <c r="O637" t="s">
        <v>531</v>
      </c>
      <c r="P637" t="str">
        <f>_xlfn.IFNA(VLOOKUP(A637,IndirectCost!B:L,11,FALSE),"")</f>
        <v/>
      </c>
      <c r="Q637">
        <f t="shared" si="9"/>
        <v>0</v>
      </c>
    </row>
    <row r="638" spans="1:17">
      <c r="A638" t="s">
        <v>493</v>
      </c>
      <c r="B638" t="s">
        <v>1316</v>
      </c>
      <c r="C638" t="str">
        <f>VLOOKUP(A638,Districts!A:I,9,FALSE)</f>
        <v>Young Scholar's Academy Charter School Corp</v>
      </c>
      <c r="D638" t="str">
        <f>VLOOKUP(A638,Districts!A:P,16,FALSE)</f>
        <v>ZHK9JJ53MWH3</v>
      </c>
      <c r="F638" s="1">
        <v>45200</v>
      </c>
      <c r="G638" t="s">
        <v>529</v>
      </c>
      <c r="H638" t="s">
        <v>530</v>
      </c>
      <c r="I638" s="59">
        <f>_xlfn.IFNA(VLOOKUP(A638,'619'!D:F,3,FALSE),0)</f>
        <v>1576.24</v>
      </c>
      <c r="J638" s="59">
        <f>_xlfn.IFNA(VLOOKUP(A638,'619'!D:Q,14,FALSE),0)</f>
        <v>1576.24</v>
      </c>
      <c r="K638" s="59">
        <f>_xlfn.IFNA(VLOOKUP(A638,'619'!D:Q,14,FALSE),0)</f>
        <v>1576.24</v>
      </c>
      <c r="O638" t="s">
        <v>531</v>
      </c>
      <c r="P638">
        <f>_xlfn.IFNA(VLOOKUP(A638,IndirectCost!B:L,11,FALSE),"")</f>
        <v>0</v>
      </c>
      <c r="Q638">
        <f t="shared" si="9"/>
        <v>0</v>
      </c>
    </row>
    <row r="639" spans="1:17">
      <c r="A639" t="s">
        <v>494</v>
      </c>
      <c r="B639" t="s">
        <v>1317</v>
      </c>
      <c r="C639" t="str">
        <f>VLOOKUP(A639,Districts!A:I,9,FALSE)</f>
        <v>Yucca Elementary School District 13</v>
      </c>
      <c r="D639" t="str">
        <f>VLOOKUP(A639,Districts!A:P,16,FALSE)</f>
        <v>ZQZWN3K2NDQ1</v>
      </c>
      <c r="F639" s="1">
        <v>45200</v>
      </c>
      <c r="G639" t="s">
        <v>529</v>
      </c>
      <c r="H639" t="s">
        <v>530</v>
      </c>
      <c r="I639" s="59">
        <f>_xlfn.IFNA(VLOOKUP(A639,'619'!D:F,3,FALSE),0)</f>
        <v>1073.7</v>
      </c>
      <c r="J639" s="59">
        <f>_xlfn.IFNA(VLOOKUP(A639,'619'!D:Q,14,FALSE),0)</f>
        <v>0</v>
      </c>
      <c r="K639" s="59">
        <f>_xlfn.IFNA(VLOOKUP(A639,'619'!D:Q,14,FALSE),0)</f>
        <v>0</v>
      </c>
      <c r="O639" t="s">
        <v>531</v>
      </c>
      <c r="P639" t="str">
        <f>_xlfn.IFNA(VLOOKUP(A639,IndirectCost!B:L,11,FALSE),"")</f>
        <v/>
      </c>
      <c r="Q639">
        <f t="shared" si="9"/>
        <v>0</v>
      </c>
    </row>
    <row r="640" spans="1:17">
      <c r="A640" t="s">
        <v>1318</v>
      </c>
      <c r="B640" t="s">
        <v>1319</v>
      </c>
      <c r="C640" t="str">
        <f>VLOOKUP(A640,Districts!A:I,9,FALSE)</f>
        <v>Yuma, County Of</v>
      </c>
      <c r="D640" t="str">
        <f>VLOOKUP(A640,Districts!A:P,16,FALSE)</f>
        <v>ELEWY4GC2FL9</v>
      </c>
      <c r="F640" s="1">
        <v>45200</v>
      </c>
      <c r="G640" t="s">
        <v>529</v>
      </c>
      <c r="H640" t="s">
        <v>530</v>
      </c>
      <c r="I640" s="59">
        <f>_xlfn.IFNA(VLOOKUP(A640,'619'!D:F,3,FALSE),0)</f>
        <v>0</v>
      </c>
      <c r="J640" s="59">
        <f>_xlfn.IFNA(VLOOKUP(A640,'619'!D:Q,14,FALSE),0)</f>
        <v>0</v>
      </c>
      <c r="K640" s="59">
        <f>_xlfn.IFNA(VLOOKUP(A640,'619'!D:Q,14,FALSE),0)</f>
        <v>0</v>
      </c>
      <c r="O640" t="s">
        <v>531</v>
      </c>
      <c r="P640" t="str">
        <f>_xlfn.IFNA(VLOOKUP(A640,IndirectCost!B:L,11,FALSE),"")</f>
        <v/>
      </c>
      <c r="Q640">
        <f t="shared" si="9"/>
        <v>0</v>
      </c>
    </row>
    <row r="641" spans="1:17">
      <c r="A641" t="s">
        <v>1320</v>
      </c>
      <c r="B641" t="s">
        <v>1321</v>
      </c>
      <c r="C641" t="str">
        <f>VLOOKUP(A641,Districts!A:I,9,FALSE)</f>
        <v>YUMA COUNTY Of</v>
      </c>
      <c r="D641" t="str">
        <f>VLOOKUP(A641,Districts!A:P,16,FALSE)</f>
        <v>ELEWY4GC2FL9</v>
      </c>
      <c r="F641" s="1">
        <v>45200</v>
      </c>
      <c r="G641" t="s">
        <v>529</v>
      </c>
      <c r="H641" t="s">
        <v>530</v>
      </c>
      <c r="I641" s="59">
        <f>_xlfn.IFNA(VLOOKUP(A641,'619'!D:F,3,FALSE),0)</f>
        <v>0</v>
      </c>
      <c r="J641" s="59">
        <f>_xlfn.IFNA(VLOOKUP(A641,'619'!D:Q,14,FALSE),0)</f>
        <v>0</v>
      </c>
      <c r="K641" s="59">
        <f>_xlfn.IFNA(VLOOKUP(A641,'619'!D:Q,14,FALSE),0)</f>
        <v>0</v>
      </c>
      <c r="O641" t="s">
        <v>531</v>
      </c>
      <c r="P641" t="str">
        <f>_xlfn.IFNA(VLOOKUP(A641,IndirectCost!B:L,11,FALSE),"")</f>
        <v/>
      </c>
      <c r="Q641">
        <f t="shared" si="9"/>
        <v>0</v>
      </c>
    </row>
    <row r="642" spans="1:17">
      <c r="A642" t="s">
        <v>495</v>
      </c>
      <c r="B642" t="s">
        <v>1322</v>
      </c>
      <c r="C642" t="str">
        <f>VLOOKUP(A642,Districts!A:I,9,FALSE)</f>
        <v>Yuma School District Number One</v>
      </c>
      <c r="D642" t="str">
        <f>VLOOKUP(A642,Districts!A:P,16,FALSE)</f>
        <v>R6JAK3Y172T7</v>
      </c>
      <c r="F642" s="1">
        <v>45200</v>
      </c>
      <c r="G642" t="s">
        <v>529</v>
      </c>
      <c r="H642" t="s">
        <v>530</v>
      </c>
      <c r="I642" s="59">
        <f>_xlfn.IFNA(VLOOKUP(A642,'619'!D:F,3,FALSE),0)</f>
        <v>37899.449999999997</v>
      </c>
      <c r="J642" s="59">
        <f>_xlfn.IFNA(VLOOKUP(A642,'619'!D:Q,14,FALSE),0)</f>
        <v>37899.449999999997</v>
      </c>
      <c r="K642" s="59">
        <f>_xlfn.IFNA(VLOOKUP(A642,'619'!D:Q,14,FALSE),0)</f>
        <v>37899.449999999997</v>
      </c>
      <c r="O642" t="s">
        <v>531</v>
      </c>
      <c r="P642">
        <f>_xlfn.IFNA(VLOOKUP(A642,IndirectCost!B:L,11,FALSE),"")</f>
        <v>3.31</v>
      </c>
      <c r="Q642">
        <f t="shared" si="9"/>
        <v>3.3099999999999997E-2</v>
      </c>
    </row>
    <row r="643" spans="1:17">
      <c r="A643" t="s">
        <v>1323</v>
      </c>
      <c r="B643" t="s">
        <v>1324</v>
      </c>
      <c r="C643" t="str">
        <f>VLOOKUP(A643,Districts!A:I,9,FALSE)</f>
        <v>Yuma Private Industry Council, Inc.</v>
      </c>
      <c r="D643" t="str">
        <f>VLOOKUP(A643,Districts!A:P,16,FALSE)</f>
        <v>NZJ4LA9RZ8S5</v>
      </c>
      <c r="F643" s="1">
        <v>45200</v>
      </c>
      <c r="G643" t="s">
        <v>529</v>
      </c>
      <c r="H643" t="s">
        <v>530</v>
      </c>
      <c r="I643" s="59">
        <f>_xlfn.IFNA(VLOOKUP(A643,'619'!D:F,3,FALSE),0)</f>
        <v>0</v>
      </c>
      <c r="J643" s="59">
        <f>_xlfn.IFNA(VLOOKUP(A643,'619'!D:Q,14,FALSE),0)</f>
        <v>0</v>
      </c>
      <c r="K643" s="59">
        <f>_xlfn.IFNA(VLOOKUP(A643,'619'!D:Q,14,FALSE),0)</f>
        <v>0</v>
      </c>
      <c r="O643" t="s">
        <v>531</v>
      </c>
      <c r="P643" t="str">
        <f>_xlfn.IFNA(VLOOKUP(A643,IndirectCost!B:L,11,FALSE),"")</f>
        <v/>
      </c>
      <c r="Q643">
        <f t="shared" si="9"/>
        <v>0</v>
      </c>
    </row>
    <row r="644" spans="1:17">
      <c r="A644" t="s">
        <v>1325</v>
      </c>
      <c r="B644" t="s">
        <v>1326</v>
      </c>
      <c r="C644" t="str">
        <f>VLOOKUP(A644,Districts!A:I,9,FALSE)</f>
        <v>YUMA UNION HIGH SCHOOL DISTRICT</v>
      </c>
      <c r="D644" t="str">
        <f>VLOOKUP(A644,Districts!A:P,16,FALSE)</f>
        <v>YLQGGQHP9G37</v>
      </c>
      <c r="F644" s="1">
        <v>45200</v>
      </c>
      <c r="G644" t="s">
        <v>529</v>
      </c>
      <c r="H644" t="s">
        <v>530</v>
      </c>
      <c r="I644" s="59">
        <f>_xlfn.IFNA(VLOOKUP(A644,'619'!D:F,3,FALSE),0)</f>
        <v>0</v>
      </c>
      <c r="J644" s="59">
        <f>_xlfn.IFNA(VLOOKUP(A644,'619'!D:Q,14,FALSE),0)</f>
        <v>0</v>
      </c>
      <c r="K644" s="59">
        <f>_xlfn.IFNA(VLOOKUP(A644,'619'!D:Q,14,FALSE),0)</f>
        <v>0</v>
      </c>
      <c r="O644" t="s">
        <v>531</v>
      </c>
      <c r="P644">
        <f>_xlfn.IFNA(VLOOKUP(A644,IndirectCost!B:L,11,FALSE),"")</f>
        <v>8</v>
      </c>
      <c r="Q644">
        <f t="shared" ref="Q644" si="10">IFERROR(P644/100,0)</f>
        <v>0.08</v>
      </c>
    </row>
  </sheetData>
  <sheetProtection algorithmName="SHA-512" hashValue="0PyoFO2AAaXxTIt7lwkRWoXtC3Zz18yz0qD8Hna9cWrhcGFCfTmVYEI0m3YSzT8yXmjQlEZGK3Wpfxu17gUqOQ==" saltValue="PfRhsg1zpATU/rgGCOxzPw==" spinCount="100000" sheet="1" objects="1" scenarios="1"/>
  <autoFilter ref="A2:P2" xr:uid="{00000000-0009-0000-00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3D38-DCA1-4123-8FE4-FEBC02407321}">
  <dimension ref="A1:A379"/>
  <sheetViews>
    <sheetView topLeftCell="A2" workbookViewId="0"/>
  </sheetViews>
  <sheetFormatPr defaultRowHeight="14.45"/>
  <cols>
    <col min="1" max="1" width="10.28515625" customWidth="1"/>
  </cols>
  <sheetData>
    <row r="1" spans="1:1">
      <c r="A1" t="s">
        <v>510</v>
      </c>
    </row>
    <row r="2" spans="1:1">
      <c r="A2" t="s">
        <v>1243</v>
      </c>
    </row>
    <row r="3" spans="1:1">
      <c r="A3" t="s">
        <v>441</v>
      </c>
    </row>
    <row r="4" spans="1:1">
      <c r="A4" t="s">
        <v>489</v>
      </c>
    </row>
    <row r="5" spans="1:1">
      <c r="A5" t="s">
        <v>404</v>
      </c>
    </row>
    <row r="6" spans="1:1">
      <c r="A6" t="s">
        <v>415</v>
      </c>
    </row>
    <row r="7" spans="1:1">
      <c r="A7" t="s">
        <v>394</v>
      </c>
    </row>
    <row r="8" spans="1:1">
      <c r="A8" t="s">
        <v>474</v>
      </c>
    </row>
    <row r="9" spans="1:1">
      <c r="A9" t="s">
        <v>323</v>
      </c>
    </row>
    <row r="10" spans="1:1">
      <c r="A10" t="s">
        <v>460</v>
      </c>
    </row>
    <row r="11" spans="1:1">
      <c r="A11" t="s">
        <v>486</v>
      </c>
    </row>
    <row r="12" spans="1:1">
      <c r="A12" t="s">
        <v>413</v>
      </c>
    </row>
    <row r="13" spans="1:1">
      <c r="A13" t="s">
        <v>440</v>
      </c>
    </row>
    <row r="14" spans="1:1">
      <c r="A14" t="s">
        <v>429</v>
      </c>
    </row>
    <row r="15" spans="1:1">
      <c r="A15" t="s">
        <v>345</v>
      </c>
    </row>
    <row r="16" spans="1:1">
      <c r="A16" t="s">
        <v>364</v>
      </c>
    </row>
    <row r="17" spans="1:1">
      <c r="A17" t="s">
        <v>324</v>
      </c>
    </row>
    <row r="18" spans="1:1">
      <c r="A18" t="s">
        <v>386</v>
      </c>
    </row>
    <row r="19" spans="1:1">
      <c r="A19" t="s">
        <v>374</v>
      </c>
    </row>
    <row r="20" spans="1:1">
      <c r="A20" t="s">
        <v>1280</v>
      </c>
    </row>
    <row r="21" spans="1:1">
      <c r="A21" t="s">
        <v>354</v>
      </c>
    </row>
    <row r="22" spans="1:1">
      <c r="A22" t="s">
        <v>487</v>
      </c>
    </row>
    <row r="23" spans="1:1">
      <c r="A23" t="s">
        <v>232</v>
      </c>
    </row>
    <row r="24" spans="1:1">
      <c r="A24" t="s">
        <v>359</v>
      </c>
    </row>
    <row r="25" spans="1:1">
      <c r="A25" t="s">
        <v>464</v>
      </c>
    </row>
    <row r="26" spans="1:1">
      <c r="A26" t="s">
        <v>314</v>
      </c>
    </row>
    <row r="27" spans="1:1">
      <c r="A27" t="s">
        <v>1075</v>
      </c>
    </row>
    <row r="28" spans="1:1">
      <c r="A28" t="s">
        <v>381</v>
      </c>
    </row>
    <row r="29" spans="1:1">
      <c r="A29" t="s">
        <v>228</v>
      </c>
    </row>
    <row r="30" spans="1:1">
      <c r="A30" t="s">
        <v>343</v>
      </c>
    </row>
    <row r="31" spans="1:1">
      <c r="A31" t="s">
        <v>360</v>
      </c>
    </row>
    <row r="32" spans="1:1">
      <c r="A32" t="s">
        <v>239</v>
      </c>
    </row>
    <row r="33" spans="1:1">
      <c r="A33" t="s">
        <v>231</v>
      </c>
    </row>
    <row r="34" spans="1:1">
      <c r="A34" t="s">
        <v>372</v>
      </c>
    </row>
    <row r="35" spans="1:1">
      <c r="A35" t="s">
        <v>411</v>
      </c>
    </row>
    <row r="36" spans="1:1">
      <c r="A36" t="s">
        <v>327</v>
      </c>
    </row>
    <row r="37" spans="1:1">
      <c r="A37" t="s">
        <v>240</v>
      </c>
    </row>
    <row r="38" spans="1:1">
      <c r="A38" t="s">
        <v>492</v>
      </c>
    </row>
    <row r="39" spans="1:1">
      <c r="A39" t="s">
        <v>382</v>
      </c>
    </row>
    <row r="40" spans="1:1">
      <c r="A40" t="s">
        <v>461</v>
      </c>
    </row>
    <row r="41" spans="1:1">
      <c r="A41" t="s">
        <v>988</v>
      </c>
    </row>
    <row r="42" spans="1:1">
      <c r="A42" t="s">
        <v>407</v>
      </c>
    </row>
    <row r="43" spans="1:1">
      <c r="A43" t="s">
        <v>452</v>
      </c>
    </row>
    <row r="44" spans="1:1">
      <c r="A44" t="s">
        <v>380</v>
      </c>
    </row>
    <row r="45" spans="1:1">
      <c r="A45" t="s">
        <v>434</v>
      </c>
    </row>
    <row r="46" spans="1:1">
      <c r="A46" t="s">
        <v>850</v>
      </c>
    </row>
    <row r="47" spans="1:1">
      <c r="A47" t="s">
        <v>463</v>
      </c>
    </row>
    <row r="48" spans="1:1">
      <c r="A48" t="s">
        <v>338</v>
      </c>
    </row>
    <row r="49" spans="1:1">
      <c r="A49" t="s">
        <v>1010</v>
      </c>
    </row>
    <row r="50" spans="1:1">
      <c r="A50" t="s">
        <v>325</v>
      </c>
    </row>
    <row r="51" spans="1:1">
      <c r="A51" t="s">
        <v>485</v>
      </c>
    </row>
    <row r="52" spans="1:1">
      <c r="A52" t="s">
        <v>376</v>
      </c>
    </row>
    <row r="53" spans="1:1">
      <c r="A53" t="s">
        <v>227</v>
      </c>
    </row>
    <row r="54" spans="1:1">
      <c r="A54" t="s">
        <v>422</v>
      </c>
    </row>
    <row r="55" spans="1:1">
      <c r="A55" t="s">
        <v>247</v>
      </c>
    </row>
    <row r="56" spans="1:1">
      <c r="A56" t="s">
        <v>366</v>
      </c>
    </row>
    <row r="57" spans="1:1">
      <c r="A57" t="s">
        <v>346</v>
      </c>
    </row>
    <row r="58" spans="1:1">
      <c r="A58" t="s">
        <v>406</v>
      </c>
    </row>
    <row r="59" spans="1:1">
      <c r="A59" t="s">
        <v>392</v>
      </c>
    </row>
    <row r="60" spans="1:1">
      <c r="A60" t="s">
        <v>427</v>
      </c>
    </row>
    <row r="61" spans="1:1">
      <c r="A61" t="s">
        <v>341</v>
      </c>
    </row>
    <row r="62" spans="1:1">
      <c r="A62" t="s">
        <v>331</v>
      </c>
    </row>
    <row r="63" spans="1:1">
      <c r="A63" t="s">
        <v>363</v>
      </c>
    </row>
    <row r="64" spans="1:1">
      <c r="A64" t="s">
        <v>377</v>
      </c>
    </row>
    <row r="65" spans="1:1">
      <c r="A65" t="s">
        <v>400</v>
      </c>
    </row>
    <row r="66" spans="1:1">
      <c r="A66" t="s">
        <v>451</v>
      </c>
    </row>
    <row r="67" spans="1:1">
      <c r="A67" t="s">
        <v>259</v>
      </c>
    </row>
    <row r="68" spans="1:1">
      <c r="A68" t="s">
        <v>478</v>
      </c>
    </row>
    <row r="69" spans="1:1">
      <c r="A69" t="s">
        <v>488</v>
      </c>
    </row>
    <row r="70" spans="1:1">
      <c r="A70" t="s">
        <v>356</v>
      </c>
    </row>
    <row r="71" spans="1:1">
      <c r="A71" t="s">
        <v>458</v>
      </c>
    </row>
    <row r="72" spans="1:1">
      <c r="A72" t="s">
        <v>344</v>
      </c>
    </row>
    <row r="73" spans="1:1">
      <c r="A73" t="s">
        <v>306</v>
      </c>
    </row>
    <row r="74" spans="1:1">
      <c r="A74" t="s">
        <v>278</v>
      </c>
    </row>
    <row r="75" spans="1:1">
      <c r="A75" t="s">
        <v>313</v>
      </c>
    </row>
    <row r="76" spans="1:1">
      <c r="A76" t="s">
        <v>229</v>
      </c>
    </row>
    <row r="77" spans="1:1">
      <c r="A77" t="s">
        <v>362</v>
      </c>
    </row>
    <row r="78" spans="1:1">
      <c r="A78" t="s">
        <v>281</v>
      </c>
    </row>
    <row r="79" spans="1:1">
      <c r="A79" t="s">
        <v>469</v>
      </c>
    </row>
    <row r="80" spans="1:1">
      <c r="A80" t="s">
        <v>312</v>
      </c>
    </row>
    <row r="81" spans="1:1">
      <c r="A81" t="s">
        <v>401</v>
      </c>
    </row>
    <row r="82" spans="1:1">
      <c r="A82" t="s">
        <v>309</v>
      </c>
    </row>
    <row r="83" spans="1:1">
      <c r="A83" t="s">
        <v>375</v>
      </c>
    </row>
    <row r="84" spans="1:1">
      <c r="A84" t="s">
        <v>230</v>
      </c>
    </row>
    <row r="85" spans="1:1">
      <c r="A85" t="s">
        <v>1121</v>
      </c>
    </row>
    <row r="86" spans="1:1">
      <c r="A86" t="s">
        <v>1241</v>
      </c>
    </row>
    <row r="87" spans="1:1">
      <c r="A87" t="s">
        <v>1258</v>
      </c>
    </row>
    <row r="88" spans="1:1">
      <c r="A88" t="s">
        <v>1008</v>
      </c>
    </row>
    <row r="89" spans="1:1">
      <c r="A89" t="s">
        <v>1012</v>
      </c>
    </row>
    <row r="90" spans="1:1">
      <c r="A90" t="s">
        <v>1149</v>
      </c>
    </row>
    <row r="91" spans="1:1">
      <c r="A91" t="s">
        <v>284</v>
      </c>
    </row>
    <row r="92" spans="1:1">
      <c r="A92" t="s">
        <v>1282</v>
      </c>
    </row>
    <row r="93" spans="1:1">
      <c r="A93" t="s">
        <v>249</v>
      </c>
    </row>
    <row r="94" spans="1:1">
      <c r="A94" t="s">
        <v>457</v>
      </c>
    </row>
    <row r="95" spans="1:1">
      <c r="A95" t="s">
        <v>396</v>
      </c>
    </row>
    <row r="96" spans="1:1">
      <c r="A96" t="s">
        <v>258</v>
      </c>
    </row>
    <row r="97" spans="1:1">
      <c r="A97" t="s">
        <v>1248</v>
      </c>
    </row>
    <row r="98" spans="1:1">
      <c r="A98" t="s">
        <v>294</v>
      </c>
    </row>
    <row r="99" spans="1:1">
      <c r="A99" t="s">
        <v>1104</v>
      </c>
    </row>
    <row r="100" spans="1:1">
      <c r="A100" t="s">
        <v>1001</v>
      </c>
    </row>
    <row r="101" spans="1:1">
      <c r="A101" t="s">
        <v>1299</v>
      </c>
    </row>
    <row r="102" spans="1:1">
      <c r="A102" t="s">
        <v>477</v>
      </c>
    </row>
    <row r="103" spans="1:1">
      <c r="A103" t="s">
        <v>1223</v>
      </c>
    </row>
    <row r="104" spans="1:1">
      <c r="A104" t="s">
        <v>291</v>
      </c>
    </row>
    <row r="105" spans="1:1">
      <c r="A105" t="s">
        <v>265</v>
      </c>
    </row>
    <row r="106" spans="1:1">
      <c r="A106" t="s">
        <v>251</v>
      </c>
    </row>
    <row r="107" spans="1:1">
      <c r="A107" t="s">
        <v>992</v>
      </c>
    </row>
    <row r="108" spans="1:1">
      <c r="A108" t="s">
        <v>448</v>
      </c>
    </row>
    <row r="109" spans="1:1">
      <c r="A109" t="s">
        <v>1112</v>
      </c>
    </row>
    <row r="110" spans="1:1">
      <c r="A110" t="s">
        <v>263</v>
      </c>
    </row>
    <row r="111" spans="1:1">
      <c r="A111" t="s">
        <v>421</v>
      </c>
    </row>
    <row r="112" spans="1:1">
      <c r="A112" t="s">
        <v>873</v>
      </c>
    </row>
    <row r="113" spans="1:1">
      <c r="A113" t="s">
        <v>425</v>
      </c>
    </row>
    <row r="114" spans="1:1">
      <c r="A114" t="s">
        <v>243</v>
      </c>
    </row>
    <row r="115" spans="1:1">
      <c r="A115" t="s">
        <v>866</v>
      </c>
    </row>
    <row r="116" spans="1:1">
      <c r="A116" t="s">
        <v>351</v>
      </c>
    </row>
    <row r="117" spans="1:1">
      <c r="A117" t="s">
        <v>402</v>
      </c>
    </row>
    <row r="118" spans="1:1">
      <c r="A118" t="s">
        <v>302</v>
      </c>
    </row>
    <row r="119" spans="1:1">
      <c r="A119" t="s">
        <v>299</v>
      </c>
    </row>
    <row r="120" spans="1:1">
      <c r="A120" t="s">
        <v>292</v>
      </c>
    </row>
    <row r="121" spans="1:1">
      <c r="A121" t="s">
        <v>297</v>
      </c>
    </row>
    <row r="122" spans="1:1">
      <c r="A122" t="s">
        <v>475</v>
      </c>
    </row>
    <row r="123" spans="1:1">
      <c r="A123" t="s">
        <v>1253</v>
      </c>
    </row>
    <row r="124" spans="1:1">
      <c r="A124" t="s">
        <v>289</v>
      </c>
    </row>
    <row r="125" spans="1:1">
      <c r="A125" t="s">
        <v>300</v>
      </c>
    </row>
    <row r="126" spans="1:1">
      <c r="A126" t="s">
        <v>285</v>
      </c>
    </row>
    <row r="127" spans="1:1">
      <c r="A127" t="s">
        <v>287</v>
      </c>
    </row>
    <row r="128" spans="1:1">
      <c r="A128" t="s">
        <v>999</v>
      </c>
    </row>
    <row r="129" spans="1:1">
      <c r="A129" t="s">
        <v>304</v>
      </c>
    </row>
    <row r="130" spans="1:1">
      <c r="A130" t="s">
        <v>1124</v>
      </c>
    </row>
    <row r="131" spans="1:1">
      <c r="A131" t="s">
        <v>962</v>
      </c>
    </row>
    <row r="132" spans="1:1">
      <c r="A132" t="s">
        <v>403</v>
      </c>
    </row>
    <row r="133" spans="1:1">
      <c r="A133" t="s">
        <v>389</v>
      </c>
    </row>
    <row r="134" spans="1:1">
      <c r="A134" t="s">
        <v>255</v>
      </c>
    </row>
    <row r="135" spans="1:1">
      <c r="A135" t="s">
        <v>256</v>
      </c>
    </row>
    <row r="136" spans="1:1">
      <c r="A136" t="s">
        <v>893</v>
      </c>
    </row>
    <row r="137" spans="1:1">
      <c r="A137" t="s">
        <v>895</v>
      </c>
    </row>
    <row r="138" spans="1:1">
      <c r="A138" t="s">
        <v>886</v>
      </c>
    </row>
    <row r="139" spans="1:1">
      <c r="A139" t="s">
        <v>891</v>
      </c>
    </row>
    <row r="140" spans="1:1">
      <c r="A140" t="s">
        <v>1195</v>
      </c>
    </row>
    <row r="141" spans="1:1">
      <c r="A141" t="s">
        <v>254</v>
      </c>
    </row>
    <row r="142" spans="1:1">
      <c r="A142" t="s">
        <v>257</v>
      </c>
    </row>
    <row r="143" spans="1:1">
      <c r="A143" t="s">
        <v>899</v>
      </c>
    </row>
    <row r="144" spans="1:1">
      <c r="A144" t="s">
        <v>901</v>
      </c>
    </row>
    <row r="145" spans="1:1">
      <c r="A145" t="s">
        <v>414</v>
      </c>
    </row>
    <row r="146" spans="1:1">
      <c r="A146" t="s">
        <v>846</v>
      </c>
    </row>
    <row r="147" spans="1:1">
      <c r="A147" t="s">
        <v>897</v>
      </c>
    </row>
    <row r="148" spans="1:1">
      <c r="A148" t="s">
        <v>483</v>
      </c>
    </row>
    <row r="149" spans="1:1">
      <c r="A149" t="s">
        <v>384</v>
      </c>
    </row>
    <row r="150" spans="1:1">
      <c r="A150" t="s">
        <v>903</v>
      </c>
    </row>
    <row r="151" spans="1:1">
      <c r="A151" t="s">
        <v>884</v>
      </c>
    </row>
    <row r="152" spans="1:1">
      <c r="A152" t="s">
        <v>339</v>
      </c>
    </row>
    <row r="153" spans="1:1">
      <c r="A153" t="s">
        <v>398</v>
      </c>
    </row>
    <row r="154" spans="1:1">
      <c r="A154" t="s">
        <v>456</v>
      </c>
    </row>
    <row r="155" spans="1:1">
      <c r="A155" t="s">
        <v>473</v>
      </c>
    </row>
    <row r="156" spans="1:1">
      <c r="A156" t="s">
        <v>1208</v>
      </c>
    </row>
    <row r="157" spans="1:1">
      <c r="A157" t="s">
        <v>270</v>
      </c>
    </row>
    <row r="158" spans="1:1">
      <c r="A158" t="s">
        <v>266</v>
      </c>
    </row>
    <row r="159" spans="1:1">
      <c r="A159" t="s">
        <v>268</v>
      </c>
    </row>
    <row r="160" spans="1:1">
      <c r="A160" t="s">
        <v>928</v>
      </c>
    </row>
    <row r="161" spans="1:1">
      <c r="A161" t="s">
        <v>1220</v>
      </c>
    </row>
    <row r="162" spans="1:1">
      <c r="A162" t="s">
        <v>267</v>
      </c>
    </row>
    <row r="163" spans="1:1">
      <c r="A163" t="s">
        <v>1071</v>
      </c>
    </row>
    <row r="164" spans="1:1">
      <c r="A164" t="s">
        <v>1265</v>
      </c>
    </row>
    <row r="165" spans="1:1">
      <c r="A165" t="s">
        <v>319</v>
      </c>
    </row>
    <row r="166" spans="1:1">
      <c r="A166" t="s">
        <v>236</v>
      </c>
    </row>
    <row r="167" spans="1:1">
      <c r="A167" t="s">
        <v>438</v>
      </c>
    </row>
    <row r="168" spans="1:1">
      <c r="A168" t="s">
        <v>399</v>
      </c>
    </row>
    <row r="169" spans="1:1">
      <c r="A169" t="s">
        <v>453</v>
      </c>
    </row>
    <row r="170" spans="1:1">
      <c r="A170" t="s">
        <v>271</v>
      </c>
    </row>
    <row r="171" spans="1:1">
      <c r="A171" t="s">
        <v>435</v>
      </c>
    </row>
    <row r="172" spans="1:1">
      <c r="A172" t="s">
        <v>419</v>
      </c>
    </row>
    <row r="173" spans="1:1">
      <c r="A173" t="s">
        <v>432</v>
      </c>
    </row>
    <row r="174" spans="1:1">
      <c r="A174" t="s">
        <v>241</v>
      </c>
    </row>
    <row r="175" spans="1:1">
      <c r="A175" t="s">
        <v>468</v>
      </c>
    </row>
    <row r="176" spans="1:1">
      <c r="A176" t="s">
        <v>1106</v>
      </c>
    </row>
    <row r="177" spans="1:1">
      <c r="A177" t="s">
        <v>443</v>
      </c>
    </row>
    <row r="178" spans="1:1">
      <c r="A178" t="s">
        <v>293</v>
      </c>
    </row>
    <row r="179" spans="1:1">
      <c r="A179" t="s">
        <v>303</v>
      </c>
    </row>
    <row r="180" spans="1:1">
      <c r="A180" t="s">
        <v>977</v>
      </c>
    </row>
    <row r="181" spans="1:1">
      <c r="A181" t="s">
        <v>340</v>
      </c>
    </row>
    <row r="182" spans="1:1">
      <c r="A182" t="s">
        <v>296</v>
      </c>
    </row>
    <row r="183" spans="1:1">
      <c r="A183" t="s">
        <v>288</v>
      </c>
    </row>
    <row r="184" spans="1:1">
      <c r="A184" t="s">
        <v>1006</v>
      </c>
    </row>
    <row r="185" spans="1:1">
      <c r="A185" t="s">
        <v>1174</v>
      </c>
    </row>
    <row r="186" spans="1:1">
      <c r="A186" t="s">
        <v>408</v>
      </c>
    </row>
    <row r="187" spans="1:1">
      <c r="A187" t="s">
        <v>348</v>
      </c>
    </row>
    <row r="188" spans="1:1">
      <c r="A188" t="s">
        <v>378</v>
      </c>
    </row>
    <row r="189" spans="1:1">
      <c r="A189" t="s">
        <v>868</v>
      </c>
    </row>
    <row r="190" spans="1:1">
      <c r="A190" t="s">
        <v>476</v>
      </c>
    </row>
    <row r="191" spans="1:1">
      <c r="A191" t="s">
        <v>1115</v>
      </c>
    </row>
    <row r="192" spans="1:1">
      <c r="A192" t="s">
        <v>921</v>
      </c>
    </row>
    <row r="193" spans="1:1">
      <c r="A193" t="s">
        <v>908</v>
      </c>
    </row>
    <row r="194" spans="1:1">
      <c r="A194" t="s">
        <v>1022</v>
      </c>
    </row>
    <row r="195" spans="1:1">
      <c r="A195" t="s">
        <v>397</v>
      </c>
    </row>
    <row r="196" spans="1:1">
      <c r="A196" t="s">
        <v>879</v>
      </c>
    </row>
    <row r="197" spans="1:1">
      <c r="A197" t="s">
        <v>336</v>
      </c>
    </row>
    <row r="198" spans="1:1">
      <c r="A198" t="s">
        <v>274</v>
      </c>
    </row>
    <row r="199" spans="1:1">
      <c r="A199" t="s">
        <v>349</v>
      </c>
    </row>
    <row r="200" spans="1:1">
      <c r="A200" t="s">
        <v>1238</v>
      </c>
    </row>
    <row r="201" spans="1:1">
      <c r="A201" t="s">
        <v>337</v>
      </c>
    </row>
    <row r="202" spans="1:1">
      <c r="A202" t="s">
        <v>933</v>
      </c>
    </row>
    <row r="203" spans="1:1">
      <c r="A203" t="s">
        <v>347</v>
      </c>
    </row>
    <row r="204" spans="1:1">
      <c r="A204" t="s">
        <v>1119</v>
      </c>
    </row>
    <row r="205" spans="1:1">
      <c r="A205" t="s">
        <v>946</v>
      </c>
    </row>
    <row r="206" spans="1:1">
      <c r="A206" t="s">
        <v>444</v>
      </c>
    </row>
    <row r="207" spans="1:1">
      <c r="A207" t="s">
        <v>308</v>
      </c>
    </row>
    <row r="208" spans="1:1">
      <c r="A208" t="s">
        <v>329</v>
      </c>
    </row>
    <row r="209" spans="1:1">
      <c r="A209" t="s">
        <v>371</v>
      </c>
    </row>
    <row r="210" spans="1:1">
      <c r="A210" t="s">
        <v>912</v>
      </c>
    </row>
    <row r="211" spans="1:1">
      <c r="A211" t="s">
        <v>1065</v>
      </c>
    </row>
    <row r="212" spans="1:1">
      <c r="A212" t="s">
        <v>1027</v>
      </c>
    </row>
    <row r="213" spans="1:1">
      <c r="A213" t="s">
        <v>358</v>
      </c>
    </row>
    <row r="214" spans="1:1">
      <c r="A214" t="s">
        <v>1255</v>
      </c>
    </row>
    <row r="215" spans="1:1">
      <c r="A215" t="s">
        <v>367</v>
      </c>
    </row>
    <row r="216" spans="1:1">
      <c r="A216" t="s">
        <v>1210</v>
      </c>
    </row>
    <row r="217" spans="1:1">
      <c r="A217" t="s">
        <v>445</v>
      </c>
    </row>
    <row r="218" spans="1:1">
      <c r="A218" t="s">
        <v>385</v>
      </c>
    </row>
    <row r="219" spans="1:1">
      <c r="A219" t="s">
        <v>914</v>
      </c>
    </row>
    <row r="220" spans="1:1">
      <c r="A220" t="s">
        <v>350</v>
      </c>
    </row>
    <row r="221" spans="1:1">
      <c r="A221" t="s">
        <v>481</v>
      </c>
    </row>
    <row r="222" spans="1:1">
      <c r="A222" t="s">
        <v>1147</v>
      </c>
    </row>
    <row r="223" spans="1:1">
      <c r="A223" t="s">
        <v>365</v>
      </c>
    </row>
    <row r="224" spans="1:1">
      <c r="A224" t="s">
        <v>1073</v>
      </c>
    </row>
    <row r="225" spans="1:1">
      <c r="A225" t="s">
        <v>940</v>
      </c>
    </row>
    <row r="226" spans="1:1">
      <c r="A226" t="s">
        <v>926</v>
      </c>
    </row>
    <row r="227" spans="1:1">
      <c r="A227" t="s">
        <v>935</v>
      </c>
    </row>
    <row r="228" spans="1:1">
      <c r="A228" t="s">
        <v>937</v>
      </c>
    </row>
    <row r="229" spans="1:1">
      <c r="A229" t="s">
        <v>1290</v>
      </c>
    </row>
    <row r="230" spans="1:1">
      <c r="A230" t="s">
        <v>1190</v>
      </c>
    </row>
    <row r="231" spans="1:1">
      <c r="A231" t="s">
        <v>1097</v>
      </c>
    </row>
    <row r="232" spans="1:1">
      <c r="A232" t="s">
        <v>472</v>
      </c>
    </row>
    <row r="233" spans="1:1">
      <c r="A233" t="s">
        <v>282</v>
      </c>
    </row>
    <row r="234" spans="1:1">
      <c r="A234" t="s">
        <v>482</v>
      </c>
    </row>
    <row r="235" spans="1:1">
      <c r="A235" t="s">
        <v>328</v>
      </c>
    </row>
    <row r="236" spans="1:1">
      <c r="A236" t="s">
        <v>335</v>
      </c>
    </row>
    <row r="237" spans="1:1">
      <c r="A237" t="s">
        <v>1063</v>
      </c>
    </row>
    <row r="238" spans="1:1">
      <c r="A238" t="s">
        <v>1285</v>
      </c>
    </row>
    <row r="239" spans="1:1">
      <c r="A239" t="s">
        <v>244</v>
      </c>
    </row>
    <row r="240" spans="1:1">
      <c r="A240" t="s">
        <v>310</v>
      </c>
    </row>
    <row r="241" spans="1:1">
      <c r="A241" t="s">
        <v>237</v>
      </c>
    </row>
    <row r="242" spans="1:1">
      <c r="A242" t="s">
        <v>269</v>
      </c>
    </row>
    <row r="243" spans="1:1">
      <c r="A243" t="s">
        <v>280</v>
      </c>
    </row>
    <row r="244" spans="1:1">
      <c r="A244" t="s">
        <v>373</v>
      </c>
    </row>
    <row r="245" spans="1:1">
      <c r="A245" t="s">
        <v>311</v>
      </c>
    </row>
    <row r="246" spans="1:1">
      <c r="A246" t="s">
        <v>276</v>
      </c>
    </row>
    <row r="247" spans="1:1">
      <c r="A247" t="s">
        <v>235</v>
      </c>
    </row>
    <row r="248" spans="1:1">
      <c r="A248" t="s">
        <v>357</v>
      </c>
    </row>
    <row r="249" spans="1:1">
      <c r="A249" t="s">
        <v>494</v>
      </c>
    </row>
    <row r="250" spans="1:1">
      <c r="A250" t="s">
        <v>471</v>
      </c>
    </row>
    <row r="251" spans="1:1">
      <c r="A251" t="s">
        <v>462</v>
      </c>
    </row>
    <row r="252" spans="1:1">
      <c r="A252" t="s">
        <v>333</v>
      </c>
    </row>
    <row r="253" spans="1:1">
      <c r="A253" t="s">
        <v>1042</v>
      </c>
    </row>
    <row r="254" spans="1:1">
      <c r="A254" t="s">
        <v>275</v>
      </c>
    </row>
    <row r="255" spans="1:1">
      <c r="A255" t="s">
        <v>450</v>
      </c>
    </row>
    <row r="256" spans="1:1">
      <c r="A256" t="s">
        <v>332</v>
      </c>
    </row>
    <row r="257" spans="1:1">
      <c r="A257" t="s">
        <v>493</v>
      </c>
    </row>
    <row r="258" spans="1:1">
      <c r="A258" t="s">
        <v>1038</v>
      </c>
    </row>
    <row r="259" spans="1:1">
      <c r="A259" t="s">
        <v>320</v>
      </c>
    </row>
    <row r="260" spans="1:1">
      <c r="A260" t="s">
        <v>1057</v>
      </c>
    </row>
    <row r="261" spans="1:1">
      <c r="A261" t="s">
        <v>490</v>
      </c>
    </row>
    <row r="262" spans="1:1">
      <c r="A262" t="s">
        <v>261</v>
      </c>
    </row>
    <row r="263" spans="1:1">
      <c r="A263" t="s">
        <v>250</v>
      </c>
    </row>
    <row r="264" spans="1:1">
      <c r="A264" t="s">
        <v>383</v>
      </c>
    </row>
    <row r="265" spans="1:1">
      <c r="A265" t="s">
        <v>433</v>
      </c>
    </row>
    <row r="266" spans="1:1">
      <c r="A266" t="s">
        <v>242</v>
      </c>
    </row>
    <row r="267" spans="1:1">
      <c r="A267" t="s">
        <v>428</v>
      </c>
    </row>
    <row r="268" spans="1:1">
      <c r="A268" t="s">
        <v>484</v>
      </c>
    </row>
    <row r="269" spans="1:1">
      <c r="A269" t="s">
        <v>272</v>
      </c>
    </row>
    <row r="270" spans="1:1">
      <c r="A270" t="s">
        <v>1059</v>
      </c>
    </row>
    <row r="271" spans="1:1">
      <c r="A271" t="s">
        <v>1203</v>
      </c>
    </row>
    <row r="272" spans="1:1">
      <c r="A272" t="s">
        <v>1126</v>
      </c>
    </row>
    <row r="273" spans="1:1">
      <c r="A273" t="s">
        <v>467</v>
      </c>
    </row>
    <row r="274" spans="1:1">
      <c r="A274" t="s">
        <v>316</v>
      </c>
    </row>
    <row r="275" spans="1:1">
      <c r="A275" t="s">
        <v>446</v>
      </c>
    </row>
    <row r="276" spans="1:1">
      <c r="A276" t="s">
        <v>449</v>
      </c>
    </row>
    <row r="277" spans="1:1">
      <c r="A277" t="s">
        <v>470</v>
      </c>
    </row>
    <row r="278" spans="1:1">
      <c r="A278" t="s">
        <v>409</v>
      </c>
    </row>
    <row r="279" spans="1:1">
      <c r="A279" t="s">
        <v>412</v>
      </c>
    </row>
    <row r="280" spans="1:1">
      <c r="A280" t="s">
        <v>1230</v>
      </c>
    </row>
    <row r="281" spans="1:1">
      <c r="A281" t="s">
        <v>298</v>
      </c>
    </row>
    <row r="282" spans="1:1">
      <c r="A282" t="s">
        <v>1134</v>
      </c>
    </row>
    <row r="283" spans="1:1">
      <c r="A283" t="s">
        <v>420</v>
      </c>
    </row>
    <row r="284" spans="1:1">
      <c r="A284" t="s">
        <v>1128</v>
      </c>
    </row>
    <row r="285" spans="1:1">
      <c r="A285" t="s">
        <v>290</v>
      </c>
    </row>
    <row r="286" spans="1:1">
      <c r="A286" t="s">
        <v>1079</v>
      </c>
    </row>
    <row r="287" spans="1:1">
      <c r="A287" t="s">
        <v>1273</v>
      </c>
    </row>
    <row r="288" spans="1:1">
      <c r="A288" t="s">
        <v>245</v>
      </c>
    </row>
    <row r="289" spans="1:1">
      <c r="A289" t="s">
        <v>930</v>
      </c>
    </row>
    <row r="290" spans="1:1">
      <c r="A290" t="s">
        <v>353</v>
      </c>
    </row>
    <row r="291" spans="1:1">
      <c r="A291" t="s">
        <v>1132</v>
      </c>
    </row>
    <row r="292" spans="1:1">
      <c r="A292" t="s">
        <v>466</v>
      </c>
    </row>
    <row r="293" spans="1:1">
      <c r="A293" t="s">
        <v>1188</v>
      </c>
    </row>
    <row r="294" spans="1:1">
      <c r="A294" t="s">
        <v>454</v>
      </c>
    </row>
    <row r="295" spans="1:1">
      <c r="A295" t="s">
        <v>855</v>
      </c>
    </row>
    <row r="296" spans="1:1">
      <c r="A296" t="s">
        <v>906</v>
      </c>
    </row>
    <row r="297" spans="1:1">
      <c r="A297" t="s">
        <v>305</v>
      </c>
    </row>
    <row r="298" spans="1:1">
      <c r="A298" t="s">
        <v>1145</v>
      </c>
    </row>
    <row r="299" spans="1:1">
      <c r="A299" t="s">
        <v>1270</v>
      </c>
    </row>
    <row r="300" spans="1:1">
      <c r="A300" t="s">
        <v>233</v>
      </c>
    </row>
    <row r="301" spans="1:1">
      <c r="A301" t="s">
        <v>465</v>
      </c>
    </row>
    <row r="302" spans="1:1">
      <c r="A302" t="s">
        <v>246</v>
      </c>
    </row>
    <row r="303" spans="1:1">
      <c r="A303" t="s">
        <v>390</v>
      </c>
    </row>
    <row r="304" spans="1:1">
      <c r="A304" t="s">
        <v>439</v>
      </c>
    </row>
    <row r="305" spans="1:1">
      <c r="A305" t="s">
        <v>273</v>
      </c>
    </row>
    <row r="306" spans="1:1">
      <c r="A306" t="s">
        <v>234</v>
      </c>
    </row>
    <row r="307" spans="1:1">
      <c r="A307" t="s">
        <v>387</v>
      </c>
    </row>
    <row r="308" spans="1:1">
      <c r="A308" t="s">
        <v>321</v>
      </c>
    </row>
    <row r="309" spans="1:1">
      <c r="A309" t="s">
        <v>1130</v>
      </c>
    </row>
    <row r="310" spans="1:1">
      <c r="A310" t="s">
        <v>318</v>
      </c>
    </row>
    <row r="311" spans="1:1">
      <c r="A311" t="s">
        <v>393</v>
      </c>
    </row>
    <row r="312" spans="1:1">
      <c r="A312" t="s">
        <v>315</v>
      </c>
    </row>
    <row r="313" spans="1:1">
      <c r="A313" t="s">
        <v>447</v>
      </c>
    </row>
    <row r="314" spans="1:1">
      <c r="A314" t="s">
        <v>317</v>
      </c>
    </row>
    <row r="315" spans="1:1">
      <c r="A315" t="s">
        <v>260</v>
      </c>
    </row>
    <row r="316" spans="1:1">
      <c r="A316" t="s">
        <v>355</v>
      </c>
    </row>
    <row r="317" spans="1:1">
      <c r="A317" t="s">
        <v>395</v>
      </c>
    </row>
    <row r="318" spans="1:1">
      <c r="A318" t="s">
        <v>405</v>
      </c>
    </row>
    <row r="319" spans="1:1">
      <c r="A319" t="s">
        <v>459</v>
      </c>
    </row>
    <row r="320" spans="1:1">
      <c r="A320" t="s">
        <v>442</v>
      </c>
    </row>
    <row r="321" spans="1:1">
      <c r="A321" t="s">
        <v>379</v>
      </c>
    </row>
    <row r="322" spans="1:1">
      <c r="A322" t="s">
        <v>1186</v>
      </c>
    </row>
    <row r="323" spans="1:1">
      <c r="A323" t="s">
        <v>1137</v>
      </c>
    </row>
    <row r="324" spans="1:1">
      <c r="A324" t="s">
        <v>283</v>
      </c>
    </row>
    <row r="325" spans="1:1">
      <c r="A325" t="s">
        <v>301</v>
      </c>
    </row>
    <row r="326" spans="1:1">
      <c r="A326" t="s">
        <v>455</v>
      </c>
    </row>
    <row r="327" spans="1:1">
      <c r="A327" t="s">
        <v>286</v>
      </c>
    </row>
    <row r="328" spans="1:1">
      <c r="A328" t="s">
        <v>295</v>
      </c>
    </row>
    <row r="329" spans="1:1">
      <c r="A329" t="s">
        <v>352</v>
      </c>
    </row>
    <row r="330" spans="1:1">
      <c r="A330" t="s">
        <v>418</v>
      </c>
    </row>
    <row r="331" spans="1:1">
      <c r="A331" t="s">
        <v>416</v>
      </c>
    </row>
    <row r="332" spans="1:1">
      <c r="A332" t="s">
        <v>369</v>
      </c>
    </row>
    <row r="333" spans="1:1">
      <c r="A333" t="s">
        <v>437</v>
      </c>
    </row>
    <row r="334" spans="1:1">
      <c r="A334" t="s">
        <v>1101</v>
      </c>
    </row>
    <row r="335" spans="1:1">
      <c r="A335" t="s">
        <v>1181</v>
      </c>
    </row>
    <row r="336" spans="1:1">
      <c r="A336" t="s">
        <v>326</v>
      </c>
    </row>
    <row r="337" spans="1:1">
      <c r="A337" t="s">
        <v>264</v>
      </c>
    </row>
    <row r="338" spans="1:1">
      <c r="A338" t="s">
        <v>370</v>
      </c>
    </row>
    <row r="339" spans="1:1">
      <c r="A339" t="s">
        <v>417</v>
      </c>
    </row>
    <row r="340" spans="1:1">
      <c r="A340" t="s">
        <v>1309</v>
      </c>
    </row>
    <row r="341" spans="1:1">
      <c r="A341" t="s">
        <v>388</v>
      </c>
    </row>
    <row r="342" spans="1:1">
      <c r="A342" t="s">
        <v>424</v>
      </c>
    </row>
    <row r="343" spans="1:1">
      <c r="A343" t="s">
        <v>252</v>
      </c>
    </row>
    <row r="344" spans="1:1">
      <c r="A344" t="s">
        <v>426</v>
      </c>
    </row>
    <row r="345" spans="1:1">
      <c r="A345" t="s">
        <v>322</v>
      </c>
    </row>
    <row r="346" spans="1:1">
      <c r="A346" t="s">
        <v>430</v>
      </c>
    </row>
    <row r="347" spans="1:1">
      <c r="A347" t="s">
        <v>277</v>
      </c>
    </row>
    <row r="348" spans="1:1">
      <c r="A348" t="s">
        <v>248</v>
      </c>
    </row>
    <row r="349" spans="1:1">
      <c r="A349" t="s">
        <v>491</v>
      </c>
    </row>
    <row r="350" spans="1:1">
      <c r="A350" t="s">
        <v>1034</v>
      </c>
    </row>
    <row r="351" spans="1:1">
      <c r="A351" t="s">
        <v>1313</v>
      </c>
    </row>
    <row r="352" spans="1:1">
      <c r="A352" t="s">
        <v>279</v>
      </c>
    </row>
    <row r="353" spans="1:1">
      <c r="A353" t="s">
        <v>423</v>
      </c>
    </row>
    <row r="354" spans="1:1">
      <c r="A354" t="s">
        <v>330</v>
      </c>
    </row>
    <row r="355" spans="1:1">
      <c r="A355" t="s">
        <v>431</v>
      </c>
    </row>
    <row r="356" spans="1:1">
      <c r="A356" t="s">
        <v>361</v>
      </c>
    </row>
    <row r="357" spans="1:1">
      <c r="A357" t="s">
        <v>1016</v>
      </c>
    </row>
    <row r="358" spans="1:1">
      <c r="A358" t="s">
        <v>1085</v>
      </c>
    </row>
    <row r="359" spans="1:1">
      <c r="A359" t="s">
        <v>944</v>
      </c>
    </row>
    <row r="360" spans="1:1">
      <c r="A360" t="s">
        <v>342</v>
      </c>
    </row>
    <row r="361" spans="1:1">
      <c r="A361" t="s">
        <v>307</v>
      </c>
    </row>
    <row r="362" spans="1:1">
      <c r="A362" t="s">
        <v>495</v>
      </c>
    </row>
    <row r="363" spans="1:1">
      <c r="A363" t="s">
        <v>436</v>
      </c>
    </row>
    <row r="364" spans="1:1">
      <c r="A364" t="s">
        <v>253</v>
      </c>
    </row>
    <row r="365" spans="1:1">
      <c r="A365" t="s">
        <v>334</v>
      </c>
    </row>
    <row r="366" spans="1:1">
      <c r="A366" t="s">
        <v>479</v>
      </c>
    </row>
    <row r="367" spans="1:1">
      <c r="A367" t="s">
        <v>1325</v>
      </c>
    </row>
    <row r="368" spans="1:1">
      <c r="A368" t="s">
        <v>1320</v>
      </c>
    </row>
    <row r="369" spans="1:1">
      <c r="A369" t="s">
        <v>1323</v>
      </c>
    </row>
    <row r="370" spans="1:1">
      <c r="A370" t="s">
        <v>262</v>
      </c>
    </row>
    <row r="371" spans="1:1">
      <c r="A371" t="s">
        <v>238</v>
      </c>
    </row>
    <row r="372" spans="1:1">
      <c r="A372" t="s">
        <v>368</v>
      </c>
    </row>
    <row r="373" spans="1:1">
      <c r="A373" t="s">
        <v>391</v>
      </c>
    </row>
    <row r="374" spans="1:1">
      <c r="A374" t="s">
        <v>480</v>
      </c>
    </row>
    <row r="375" spans="1:1">
      <c r="A375" t="s">
        <v>410</v>
      </c>
    </row>
    <row r="376" spans="1:1">
      <c r="A376" t="s">
        <v>954</v>
      </c>
    </row>
    <row r="377" spans="1:1">
      <c r="A377" t="s">
        <v>1040</v>
      </c>
    </row>
    <row r="378" spans="1:1">
      <c r="A378" t="s">
        <v>1311</v>
      </c>
    </row>
    <row r="379" spans="1:1">
      <c r="A379" t="s">
        <v>1318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topLeftCell="A14" zoomScaleNormal="100" workbookViewId="0"/>
  </sheetViews>
  <sheetFormatPr defaultRowHeight="14.45"/>
  <cols>
    <col min="1" max="1" width="50.5703125" style="2" customWidth="1"/>
    <col min="2" max="2" width="39.85546875" bestFit="1" customWidth="1"/>
    <col min="3" max="3" width="36.28515625" style="2" bestFit="1" customWidth="1"/>
    <col min="4" max="4" width="36.28515625" style="2" customWidth="1"/>
    <col min="5" max="5" width="39.5703125" bestFit="1" customWidth="1"/>
  </cols>
  <sheetData>
    <row r="1" spans="1:5" s="7" customFormat="1" ht="72.599999999999994" thickBot="1">
      <c r="A1" s="3" t="s">
        <v>1327</v>
      </c>
      <c r="B1" s="4" t="s">
        <v>1328</v>
      </c>
      <c r="C1" s="3" t="s">
        <v>1329</v>
      </c>
      <c r="D1" s="5" t="s">
        <v>1330</v>
      </c>
      <c r="E1" s="6" t="s">
        <v>1331</v>
      </c>
    </row>
    <row r="2" spans="1:5" ht="15" thickTop="1">
      <c r="A2" s="89" t="s">
        <v>1332</v>
      </c>
      <c r="B2" s="90" t="s">
        <v>1333</v>
      </c>
      <c r="C2" s="89" t="s">
        <v>1334</v>
      </c>
      <c r="D2" s="8" t="s">
        <v>1335</v>
      </c>
      <c r="E2" s="9"/>
    </row>
    <row r="3" spans="1:5">
      <c r="A3" s="79"/>
      <c r="B3" s="82"/>
      <c r="C3" s="79"/>
      <c r="D3" s="12" t="s">
        <v>1336</v>
      </c>
    </row>
    <row r="4" spans="1:5">
      <c r="A4" s="79"/>
      <c r="B4" s="82"/>
      <c r="C4" s="79"/>
      <c r="D4" s="12" t="s">
        <v>1337</v>
      </c>
    </row>
    <row r="5" spans="1:5">
      <c r="A5" s="79"/>
      <c r="B5" s="82"/>
      <c r="C5" s="79"/>
      <c r="D5" s="12" t="s">
        <v>1338</v>
      </c>
    </row>
    <row r="6" spans="1:5">
      <c r="A6" s="79"/>
      <c r="B6" s="82"/>
      <c r="C6" s="79"/>
      <c r="D6" s="12" t="s">
        <v>1339</v>
      </c>
    </row>
    <row r="7" spans="1:5">
      <c r="A7" s="79"/>
      <c r="B7" s="82"/>
      <c r="C7" s="79"/>
      <c r="D7" s="12" t="s">
        <v>1340</v>
      </c>
      <c r="E7" t="s">
        <v>1341</v>
      </c>
    </row>
    <row r="8" spans="1:5" ht="24" customHeight="1">
      <c r="A8" s="79"/>
      <c r="B8" s="82"/>
      <c r="C8" s="79"/>
      <c r="D8" s="13" t="s">
        <v>1342</v>
      </c>
    </row>
    <row r="9" spans="1:5" ht="58.5" customHeight="1">
      <c r="A9" s="79"/>
      <c r="B9" s="82"/>
      <c r="C9" s="79"/>
      <c r="D9" s="14" t="s">
        <v>1343</v>
      </c>
    </row>
    <row r="10" spans="1:5" ht="86.45">
      <c r="A10" s="80"/>
      <c r="B10" s="86"/>
      <c r="C10" s="80"/>
      <c r="D10" s="16" t="s">
        <v>1344</v>
      </c>
      <c r="E10" s="17"/>
    </row>
    <row r="11" spans="1:5" ht="70.5" customHeight="1">
      <c r="A11" s="83" t="s">
        <v>1345</v>
      </c>
      <c r="B11" s="81" t="s">
        <v>1346</v>
      </c>
      <c r="C11" s="83" t="s">
        <v>1347</v>
      </c>
      <c r="D11" s="19" t="s">
        <v>1348</v>
      </c>
      <c r="E11" s="20"/>
    </row>
    <row r="12" spans="1:5" ht="86.25" customHeight="1">
      <c r="A12" s="79"/>
      <c r="B12" s="82"/>
      <c r="C12" s="79"/>
      <c r="D12" s="14" t="s">
        <v>1349</v>
      </c>
    </row>
    <row r="13" spans="1:5" ht="100.9">
      <c r="A13" s="79"/>
      <c r="B13" s="82"/>
      <c r="C13" s="79"/>
      <c r="D13" s="21" t="s">
        <v>1350</v>
      </c>
    </row>
    <row r="14" spans="1:5" ht="135.75" customHeight="1">
      <c r="A14" s="80"/>
      <c r="B14" s="86"/>
      <c r="C14" s="80"/>
      <c r="D14" s="21" t="s">
        <v>1351</v>
      </c>
    </row>
    <row r="15" spans="1:5" ht="65.25" customHeight="1">
      <c r="A15" s="83" t="s">
        <v>1352</v>
      </c>
      <c r="B15" s="81" t="s">
        <v>1353</v>
      </c>
      <c r="C15" s="83" t="s">
        <v>1354</v>
      </c>
      <c r="D15" s="19" t="s">
        <v>1355</v>
      </c>
      <c r="E15" s="22"/>
    </row>
    <row r="16" spans="1:5" ht="37.5" customHeight="1">
      <c r="A16" s="79"/>
      <c r="B16" s="91"/>
      <c r="C16" s="84"/>
      <c r="D16" s="14" t="s">
        <v>1356</v>
      </c>
      <c r="E16" s="23"/>
    </row>
    <row r="17" spans="1:5" ht="19.5" customHeight="1">
      <c r="A17" s="79"/>
      <c r="B17" s="91"/>
      <c r="C17" s="84"/>
      <c r="D17" s="19" t="s">
        <v>1357</v>
      </c>
      <c r="E17" s="23"/>
    </row>
    <row r="18" spans="1:5" ht="51.75" customHeight="1">
      <c r="A18" s="79"/>
      <c r="B18" s="91"/>
      <c r="C18" s="84"/>
      <c r="D18" s="14" t="s">
        <v>1343</v>
      </c>
      <c r="E18" s="23"/>
    </row>
    <row r="19" spans="1:5" ht="57.6">
      <c r="A19" s="80"/>
      <c r="B19" s="92"/>
      <c r="C19" s="85"/>
      <c r="D19" s="24" t="s">
        <v>1358</v>
      </c>
      <c r="E19" s="17" t="s">
        <v>46</v>
      </c>
    </row>
    <row r="20" spans="1:5" ht="66.75" customHeight="1">
      <c r="A20" s="79" t="s">
        <v>1359</v>
      </c>
      <c r="B20" s="87" t="s">
        <v>1360</v>
      </c>
      <c r="C20" s="79" t="s">
        <v>1354</v>
      </c>
      <c r="D20" s="14" t="s">
        <v>1361</v>
      </c>
    </row>
    <row r="21" spans="1:5" ht="43.5" customHeight="1">
      <c r="A21" s="79"/>
      <c r="B21" s="87"/>
      <c r="C21" s="79"/>
      <c r="D21" s="14" t="s">
        <v>1356</v>
      </c>
    </row>
    <row r="22" spans="1:5" ht="30" customHeight="1">
      <c r="A22" s="79"/>
      <c r="B22" s="87"/>
      <c r="C22" s="79"/>
      <c r="D22" s="14" t="s">
        <v>1362</v>
      </c>
    </row>
    <row r="23" spans="1:5" ht="63.75" customHeight="1">
      <c r="A23" s="79"/>
      <c r="B23" s="87"/>
      <c r="C23" s="79"/>
      <c r="D23" s="14" t="s">
        <v>1363</v>
      </c>
    </row>
    <row r="24" spans="1:5" ht="90.75" customHeight="1">
      <c r="A24" s="80"/>
      <c r="B24" s="88"/>
      <c r="C24" s="80"/>
      <c r="D24" s="25" t="s">
        <v>1364</v>
      </c>
      <c r="E24" s="17"/>
    </row>
    <row r="25" spans="1:5" ht="57.6">
      <c r="A25" s="78" t="s">
        <v>1365</v>
      </c>
      <c r="B25" s="87" t="s">
        <v>1366</v>
      </c>
      <c r="C25" s="79" t="s">
        <v>1367</v>
      </c>
      <c r="D25" s="14" t="s">
        <v>1361</v>
      </c>
      <c r="E25" s="1">
        <v>45108</v>
      </c>
    </row>
    <row r="26" spans="1:5" ht="41.25" customHeight="1">
      <c r="A26" s="79"/>
      <c r="B26" s="87"/>
      <c r="C26" s="79"/>
      <c r="D26" s="14" t="s">
        <v>1356</v>
      </c>
      <c r="E26" s="1"/>
    </row>
    <row r="27" spans="1:5" ht="29.25" customHeight="1">
      <c r="A27" s="79"/>
      <c r="B27" s="87"/>
      <c r="C27" s="79"/>
      <c r="D27" s="14" t="s">
        <v>1362</v>
      </c>
      <c r="E27" s="1"/>
    </row>
    <row r="28" spans="1:5" ht="85.5" customHeight="1">
      <c r="A28" s="79"/>
      <c r="B28" s="87"/>
      <c r="C28" s="79"/>
      <c r="D28" s="14" t="s">
        <v>1364</v>
      </c>
      <c r="E28" s="1"/>
    </row>
    <row r="29" spans="1:5" ht="56.25" customHeight="1">
      <c r="A29" s="80"/>
      <c r="B29" s="88"/>
      <c r="C29" s="80"/>
      <c r="D29" s="25" t="s">
        <v>1343</v>
      </c>
      <c r="E29" s="26"/>
    </row>
    <row r="30" spans="1:5" s="11" customFormat="1" ht="66.75" customHeight="1">
      <c r="A30" s="77" t="s">
        <v>1368</v>
      </c>
      <c r="B30" s="81" t="s">
        <v>1369</v>
      </c>
      <c r="C30" s="83" t="s">
        <v>1370</v>
      </c>
      <c r="D30" s="14" t="s">
        <v>1361</v>
      </c>
      <c r="E30" s="27">
        <v>45930</v>
      </c>
    </row>
    <row r="31" spans="1:5" s="11" customFormat="1" ht="42.75" customHeight="1">
      <c r="A31" s="79"/>
      <c r="B31" s="82"/>
      <c r="C31" s="79"/>
      <c r="D31" s="14" t="s">
        <v>1356</v>
      </c>
      <c r="E31" s="27"/>
    </row>
    <row r="32" spans="1:5" s="11" customFormat="1" ht="27.75" customHeight="1">
      <c r="A32" s="79"/>
      <c r="B32" s="82"/>
      <c r="C32" s="79"/>
      <c r="D32" s="14" t="s">
        <v>1362</v>
      </c>
      <c r="E32" s="27"/>
    </row>
    <row r="33" spans="1:5" s="11" customFormat="1" ht="81" customHeight="1">
      <c r="A33" s="79"/>
      <c r="B33" s="82"/>
      <c r="C33" s="79"/>
      <c r="D33" s="14" t="s">
        <v>1364</v>
      </c>
      <c r="E33" s="27"/>
    </row>
    <row r="34" spans="1:5" s="11" customFormat="1" ht="49.5" customHeight="1">
      <c r="A34" s="80"/>
      <c r="B34" s="86"/>
      <c r="C34" s="80"/>
      <c r="D34" s="25" t="s">
        <v>1343</v>
      </c>
      <c r="E34" s="28"/>
    </row>
    <row r="35" spans="1:5" s="11" customFormat="1" ht="39.75" customHeight="1">
      <c r="A35" s="77" t="s">
        <v>1371</v>
      </c>
      <c r="B35" s="81" t="s">
        <v>1372</v>
      </c>
      <c r="C35" s="83" t="s">
        <v>1373</v>
      </c>
      <c r="D35" s="10" t="s">
        <v>1374</v>
      </c>
    </row>
    <row r="36" spans="1:5">
      <c r="A36" s="79"/>
      <c r="B36" s="91"/>
      <c r="C36" s="84"/>
      <c r="D36" s="2" t="s">
        <v>1375</v>
      </c>
    </row>
    <row r="37" spans="1:5" ht="23.25" customHeight="1">
      <c r="A37" s="79"/>
      <c r="B37" s="91"/>
      <c r="C37" s="84"/>
      <c r="D37" s="2" t="s">
        <v>1362</v>
      </c>
    </row>
    <row r="38" spans="1:5" ht="37.5" customHeight="1">
      <c r="A38" s="79"/>
      <c r="B38" s="91"/>
      <c r="C38" s="84"/>
      <c r="D38" s="2" t="s">
        <v>1376</v>
      </c>
    </row>
    <row r="39" spans="1:5" ht="43.15">
      <c r="A39" s="80"/>
      <c r="B39" s="92"/>
      <c r="C39" s="85"/>
      <c r="D39" s="25" t="s">
        <v>1343</v>
      </c>
      <c r="E39" s="17"/>
    </row>
    <row r="40" spans="1:5" ht="45" customHeight="1">
      <c r="A40" s="77" t="s">
        <v>1377</v>
      </c>
      <c r="B40" s="81" t="s">
        <v>1378</v>
      </c>
      <c r="C40" s="83" t="s">
        <v>1379</v>
      </c>
      <c r="D40" s="19" t="s">
        <v>1374</v>
      </c>
      <c r="E40" s="20"/>
    </row>
    <row r="41" spans="1:5" ht="43.15">
      <c r="A41" s="79"/>
      <c r="B41" s="82"/>
      <c r="C41" s="79"/>
      <c r="D41" s="14" t="s">
        <v>1380</v>
      </c>
    </row>
    <row r="42" spans="1:5" ht="21" customHeight="1">
      <c r="A42" s="79"/>
      <c r="B42" s="82"/>
      <c r="C42" s="79"/>
      <c r="D42" s="14" t="s">
        <v>1362</v>
      </c>
    </row>
    <row r="43" spans="1:5" ht="40.5" customHeight="1">
      <c r="A43" s="79"/>
      <c r="B43" s="82"/>
      <c r="C43" s="79"/>
      <c r="D43" s="14" t="s">
        <v>1376</v>
      </c>
    </row>
    <row r="44" spans="1:5" ht="43.15">
      <c r="A44" s="80"/>
      <c r="B44" s="86"/>
      <c r="C44" s="80"/>
      <c r="D44" s="25" t="s">
        <v>1343</v>
      </c>
      <c r="E44" s="17"/>
    </row>
    <row r="45" spans="1:5" ht="42" customHeight="1">
      <c r="A45" s="79" t="s">
        <v>1381</v>
      </c>
      <c r="B45" s="82" t="s">
        <v>1378</v>
      </c>
      <c r="C45" s="79" t="s">
        <v>1379</v>
      </c>
      <c r="D45" s="14" t="s">
        <v>1374</v>
      </c>
    </row>
    <row r="46" spans="1:5" ht="43.15">
      <c r="A46" s="79"/>
      <c r="B46" s="91"/>
      <c r="C46" s="84"/>
      <c r="D46" s="14" t="s">
        <v>1380</v>
      </c>
    </row>
    <row r="47" spans="1:5" ht="25.5" customHeight="1">
      <c r="A47" s="79"/>
      <c r="B47" s="91"/>
      <c r="C47" s="84"/>
      <c r="D47" s="14" t="s">
        <v>1362</v>
      </c>
    </row>
    <row r="48" spans="1:5" ht="42.75" customHeight="1">
      <c r="A48" s="79"/>
      <c r="B48" s="91"/>
      <c r="C48" s="84"/>
      <c r="D48" s="14" t="s">
        <v>1376</v>
      </c>
    </row>
    <row r="49" spans="1:5" ht="43.15">
      <c r="A49" s="80"/>
      <c r="B49" s="92"/>
      <c r="C49" s="85"/>
      <c r="D49" s="25" t="s">
        <v>1343</v>
      </c>
      <c r="E49" s="17"/>
    </row>
    <row r="50" spans="1:5" ht="39.75" customHeight="1">
      <c r="A50" s="83" t="s">
        <v>1382</v>
      </c>
      <c r="B50" s="81" t="s">
        <v>1383</v>
      </c>
      <c r="C50" s="83" t="s">
        <v>1384</v>
      </c>
      <c r="D50" s="19" t="s">
        <v>1356</v>
      </c>
      <c r="E50" s="20"/>
    </row>
    <row r="51" spans="1:5" ht="28.9">
      <c r="A51" s="79"/>
      <c r="B51" s="82"/>
      <c r="C51" s="79"/>
      <c r="D51" s="14" t="s">
        <v>1385</v>
      </c>
    </row>
    <row r="52" spans="1:5" ht="66.75" customHeight="1">
      <c r="A52" s="80"/>
      <c r="B52" s="86"/>
      <c r="C52" s="80"/>
      <c r="D52" s="25" t="s">
        <v>1386</v>
      </c>
      <c r="E52" s="17"/>
    </row>
    <row r="53" spans="1:5" s="11" customFormat="1" ht="63" customHeight="1">
      <c r="A53" s="29" t="s">
        <v>1387</v>
      </c>
      <c r="B53" s="30" t="s">
        <v>1388</v>
      </c>
      <c r="C53" s="31" t="s">
        <v>1389</v>
      </c>
      <c r="D53" s="31"/>
      <c r="E53" s="30"/>
    </row>
    <row r="54" spans="1:5" s="11" customFormat="1" ht="94.5" customHeight="1">
      <c r="A54" s="77" t="s">
        <v>1390</v>
      </c>
      <c r="B54" s="81" t="s">
        <v>17</v>
      </c>
      <c r="C54" s="83" t="s">
        <v>1391</v>
      </c>
      <c r="D54" s="14" t="s">
        <v>1392</v>
      </c>
      <c r="E54" s="18"/>
    </row>
    <row r="55" spans="1:5" s="11" customFormat="1" ht="24.75" customHeight="1">
      <c r="A55" s="78"/>
      <c r="B55" s="82"/>
      <c r="C55" s="79"/>
      <c r="D55" s="14" t="s">
        <v>1362</v>
      </c>
    </row>
    <row r="56" spans="1:5" s="11" customFormat="1" ht="63" customHeight="1">
      <c r="A56" s="79"/>
      <c r="B56" s="91"/>
      <c r="C56" s="84"/>
      <c r="D56" s="10" t="s">
        <v>1393</v>
      </c>
    </row>
    <row r="57" spans="1:5" s="11" customFormat="1" ht="63" customHeight="1">
      <c r="A57" s="80"/>
      <c r="B57" s="92"/>
      <c r="C57" s="85"/>
      <c r="D57" s="15" t="s">
        <v>1343</v>
      </c>
      <c r="E57" s="17" t="s">
        <v>1394</v>
      </c>
    </row>
    <row r="58" spans="1:5">
      <c r="A58" s="31" t="s">
        <v>1395</v>
      </c>
      <c r="B58" s="32" t="s">
        <v>1396</v>
      </c>
      <c r="C58" s="33" t="s">
        <v>1397</v>
      </c>
      <c r="D58" s="33"/>
      <c r="E58" s="32" t="s">
        <v>1397</v>
      </c>
    </row>
    <row r="59" spans="1:5" ht="28.9">
      <c r="A59" s="83" t="s">
        <v>1398</v>
      </c>
      <c r="B59" s="81" t="s">
        <v>29</v>
      </c>
      <c r="C59" s="83" t="s">
        <v>1399</v>
      </c>
      <c r="D59" s="34" t="s">
        <v>1400</v>
      </c>
      <c r="E59" s="35">
        <v>0</v>
      </c>
    </row>
    <row r="60" spans="1:5" ht="28.9">
      <c r="A60" s="85"/>
      <c r="B60" s="86"/>
      <c r="C60" s="80"/>
      <c r="D60" s="36" t="s">
        <v>1401</v>
      </c>
      <c r="E60" s="17"/>
    </row>
    <row r="61" spans="1:5">
      <c r="D61" s="12"/>
    </row>
    <row r="62" spans="1:5">
      <c r="D62" s="12"/>
    </row>
    <row r="63" spans="1:5">
      <c r="D63" s="12"/>
    </row>
    <row r="64" spans="1:5">
      <c r="D64" s="12"/>
    </row>
    <row r="65" spans="4:4">
      <c r="D65" s="13"/>
    </row>
  </sheetData>
  <mergeCells count="36">
    <mergeCell ref="A2:A10"/>
    <mergeCell ref="B2:B10"/>
    <mergeCell ref="C2:C10"/>
    <mergeCell ref="A11:A14"/>
    <mergeCell ref="B11:B14"/>
    <mergeCell ref="C11:C14"/>
    <mergeCell ref="A15:A19"/>
    <mergeCell ref="B15:B19"/>
    <mergeCell ref="C15:C19"/>
    <mergeCell ref="A20:A24"/>
    <mergeCell ref="B20:B24"/>
    <mergeCell ref="C20:C24"/>
    <mergeCell ref="A25:A29"/>
    <mergeCell ref="B25:B29"/>
    <mergeCell ref="C25:C29"/>
    <mergeCell ref="A30:A34"/>
    <mergeCell ref="B30:B34"/>
    <mergeCell ref="C30:C34"/>
    <mergeCell ref="A35:A39"/>
    <mergeCell ref="B35:B39"/>
    <mergeCell ref="C35:C39"/>
    <mergeCell ref="A40:A44"/>
    <mergeCell ref="B40:B44"/>
    <mergeCell ref="C40:C44"/>
    <mergeCell ref="A45:A49"/>
    <mergeCell ref="B45:B49"/>
    <mergeCell ref="C45:C49"/>
    <mergeCell ref="A50:A52"/>
    <mergeCell ref="B50:B52"/>
    <mergeCell ref="C50:C52"/>
    <mergeCell ref="A54:A57"/>
    <mergeCell ref="B54:B57"/>
    <mergeCell ref="C54:C57"/>
    <mergeCell ref="A59:A60"/>
    <mergeCell ref="B59:B60"/>
    <mergeCell ref="C59:C60"/>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3"/>
  <sheetViews>
    <sheetView topLeftCell="A616" workbookViewId="0"/>
  </sheetViews>
  <sheetFormatPr defaultRowHeight="14.45"/>
  <cols>
    <col min="1" max="1" width="18.5703125" bestFit="1" customWidth="1"/>
    <col min="2" max="2" width="71.7109375" bestFit="1" customWidth="1"/>
    <col min="3" max="3" width="9.5703125" bestFit="1" customWidth="1"/>
    <col min="4" max="4" width="21.7109375" bestFit="1" customWidth="1"/>
    <col min="5" max="5" width="61.140625" bestFit="1" customWidth="1"/>
    <col min="6" max="6" width="10.5703125" bestFit="1" customWidth="1"/>
    <col min="7" max="7" width="17.5703125" bestFit="1" customWidth="1"/>
    <col min="8" max="8" width="16" bestFit="1" customWidth="1"/>
  </cols>
  <sheetData>
    <row r="1" spans="1:9">
      <c r="A1" t="s">
        <v>1346</v>
      </c>
      <c r="B1" t="s">
        <v>1402</v>
      </c>
      <c r="C1" t="s">
        <v>1403</v>
      </c>
      <c r="D1" t="s">
        <v>1404</v>
      </c>
      <c r="E1" t="s">
        <v>1405</v>
      </c>
      <c r="F1" t="s">
        <v>1406</v>
      </c>
      <c r="G1" t="s">
        <v>1407</v>
      </c>
      <c r="H1" t="s">
        <v>1408</v>
      </c>
      <c r="I1" t="s">
        <v>1409</v>
      </c>
    </row>
    <row r="2" spans="1:9">
      <c r="A2" t="str">
        <f>"118720000"</f>
        <v>118720000</v>
      </c>
      <c r="B2" t="s">
        <v>527</v>
      </c>
      <c r="C2" t="s">
        <v>1410</v>
      </c>
      <c r="D2" t="s">
        <v>1411</v>
      </c>
      <c r="E2" t="s">
        <v>1412</v>
      </c>
      <c r="F2" s="1">
        <v>45340</v>
      </c>
      <c r="G2" t="s">
        <v>1413</v>
      </c>
    </row>
    <row r="3" spans="1:9">
      <c r="A3" t="str">
        <f>"108734000"</f>
        <v>108734000</v>
      </c>
      <c r="B3" t="s">
        <v>532</v>
      </c>
      <c r="C3" t="s">
        <v>1414</v>
      </c>
      <c r="D3" t="s">
        <v>1411</v>
      </c>
      <c r="E3" t="s">
        <v>1415</v>
      </c>
      <c r="F3" s="1">
        <v>45351</v>
      </c>
      <c r="G3" t="s">
        <v>1413</v>
      </c>
    </row>
    <row r="4" spans="1:9">
      <c r="A4" t="str">
        <f>"088704000"</f>
        <v>088704000</v>
      </c>
      <c r="B4" t="s">
        <v>534</v>
      </c>
      <c r="C4" t="s">
        <v>1416</v>
      </c>
      <c r="D4" t="s">
        <v>1411</v>
      </c>
      <c r="E4" t="s">
        <v>1412</v>
      </c>
      <c r="F4" s="1">
        <v>45348</v>
      </c>
      <c r="G4" t="s">
        <v>1413</v>
      </c>
    </row>
    <row r="5" spans="1:9">
      <c r="A5" t="str">
        <f>"078242000"</f>
        <v>078242000</v>
      </c>
      <c r="B5" t="s">
        <v>535</v>
      </c>
      <c r="C5" t="s">
        <v>1414</v>
      </c>
      <c r="D5" t="s">
        <v>1411</v>
      </c>
      <c r="E5" t="s">
        <v>1417</v>
      </c>
      <c r="F5" s="1">
        <v>45335</v>
      </c>
      <c r="G5" t="s">
        <v>1413</v>
      </c>
    </row>
    <row r="6" spans="1:9">
      <c r="A6" t="str">
        <f>"108713000"</f>
        <v>108713000</v>
      </c>
      <c r="B6" t="s">
        <v>536</v>
      </c>
      <c r="C6" t="s">
        <v>1414</v>
      </c>
      <c r="D6" t="s">
        <v>1411</v>
      </c>
      <c r="E6" t="s">
        <v>1417</v>
      </c>
      <c r="F6" s="1">
        <v>45218</v>
      </c>
      <c r="G6" t="s">
        <v>1413</v>
      </c>
    </row>
    <row r="7" spans="1:9">
      <c r="A7" t="str">
        <f>"078270000"</f>
        <v>078270000</v>
      </c>
      <c r="B7" t="s">
        <v>536</v>
      </c>
      <c r="C7" t="s">
        <v>1414</v>
      </c>
      <c r="D7" t="s">
        <v>1411</v>
      </c>
      <c r="E7" t="s">
        <v>1417</v>
      </c>
      <c r="F7" s="1">
        <v>45335</v>
      </c>
      <c r="G7" t="s">
        <v>1413</v>
      </c>
    </row>
    <row r="8" spans="1:9">
      <c r="A8" t="str">
        <f>"108665000"</f>
        <v>108665000</v>
      </c>
      <c r="B8" t="s">
        <v>537</v>
      </c>
      <c r="C8" t="s">
        <v>1414</v>
      </c>
      <c r="D8" t="s">
        <v>1411</v>
      </c>
      <c r="E8" t="s">
        <v>1418</v>
      </c>
      <c r="F8" s="1">
        <v>45357</v>
      </c>
      <c r="G8" t="s">
        <v>1413</v>
      </c>
    </row>
    <row r="9" spans="1:9">
      <c r="A9" t="str">
        <f>"078794000"</f>
        <v>078794000</v>
      </c>
      <c r="B9" t="s">
        <v>539</v>
      </c>
      <c r="C9" t="s">
        <v>1419</v>
      </c>
      <c r="D9" t="s">
        <v>1411</v>
      </c>
      <c r="E9" t="s">
        <v>1417</v>
      </c>
      <c r="F9" s="1">
        <v>45302</v>
      </c>
      <c r="G9" t="s">
        <v>1413</v>
      </c>
    </row>
    <row r="10" spans="1:9">
      <c r="A10" t="str">
        <f>"078701000"</f>
        <v>078701000</v>
      </c>
      <c r="B10" t="s">
        <v>540</v>
      </c>
      <c r="C10" t="s">
        <v>1419</v>
      </c>
      <c r="D10" t="s">
        <v>1411</v>
      </c>
      <c r="E10" t="s">
        <v>1412</v>
      </c>
      <c r="F10" s="1">
        <v>45357</v>
      </c>
      <c r="G10" t="s">
        <v>1413</v>
      </c>
    </row>
    <row r="11" spans="1:9">
      <c r="A11" t="str">
        <f>"138760000"</f>
        <v>138760000</v>
      </c>
      <c r="B11" t="s">
        <v>541</v>
      </c>
      <c r="C11" t="s">
        <v>1420</v>
      </c>
      <c r="D11" t="s">
        <v>1411</v>
      </c>
      <c r="E11" t="s">
        <v>1412</v>
      </c>
      <c r="F11" s="1">
        <v>45339</v>
      </c>
      <c r="G11" t="s">
        <v>1413</v>
      </c>
    </row>
    <row r="12" spans="1:9">
      <c r="A12" t="str">
        <f>"070516000"</f>
        <v>070516000</v>
      </c>
      <c r="B12" t="s">
        <v>543</v>
      </c>
      <c r="C12" t="s">
        <v>1419</v>
      </c>
      <c r="D12" t="s">
        <v>1411</v>
      </c>
      <c r="E12" t="s">
        <v>1421</v>
      </c>
      <c r="F12" s="1">
        <v>45356</v>
      </c>
      <c r="G12" t="s">
        <v>1413</v>
      </c>
    </row>
    <row r="13" spans="1:9">
      <c r="A13" t="str">
        <f>"070363000"</f>
        <v>070363000</v>
      </c>
      <c r="B13" t="s">
        <v>544</v>
      </c>
      <c r="C13" t="s">
        <v>1419</v>
      </c>
      <c r="D13" t="s">
        <v>1411</v>
      </c>
      <c r="E13" t="s">
        <v>1422</v>
      </c>
      <c r="F13" s="1">
        <v>45357</v>
      </c>
      <c r="G13" t="s">
        <v>1413</v>
      </c>
    </row>
    <row r="14" spans="1:9">
      <c r="A14" t="str">
        <f>"078793000"</f>
        <v>078793000</v>
      </c>
      <c r="B14" t="s">
        <v>546</v>
      </c>
      <c r="C14" t="s">
        <v>1419</v>
      </c>
      <c r="D14" t="s">
        <v>1411</v>
      </c>
      <c r="E14" t="s">
        <v>1412</v>
      </c>
      <c r="F14" s="1">
        <v>45340</v>
      </c>
      <c r="G14" t="s">
        <v>1413</v>
      </c>
    </row>
    <row r="15" spans="1:9">
      <c r="A15" t="str">
        <f>"078286000"</f>
        <v>078286000</v>
      </c>
      <c r="B15" t="s">
        <v>548</v>
      </c>
      <c r="C15" t="s">
        <v>1419</v>
      </c>
      <c r="D15" t="s">
        <v>1411</v>
      </c>
      <c r="E15" t="s">
        <v>1412</v>
      </c>
      <c r="F15" s="1">
        <v>45340</v>
      </c>
      <c r="G15" t="s">
        <v>1413</v>
      </c>
    </row>
    <row r="16" spans="1:9">
      <c r="A16" t="str">
        <f>"100215000"</f>
        <v>100215000</v>
      </c>
      <c r="B16" t="s">
        <v>549</v>
      </c>
      <c r="C16" t="s">
        <v>1414</v>
      </c>
      <c r="D16" t="s">
        <v>1411</v>
      </c>
      <c r="E16" t="s">
        <v>1417</v>
      </c>
      <c r="F16" s="1">
        <v>45335</v>
      </c>
      <c r="G16" t="s">
        <v>1413</v>
      </c>
    </row>
    <row r="17" spans="1:7">
      <c r="A17" t="str">
        <f>"118705000"</f>
        <v>118705000</v>
      </c>
      <c r="B17" t="s">
        <v>550</v>
      </c>
      <c r="C17" t="s">
        <v>1410</v>
      </c>
      <c r="D17" t="s">
        <v>1411</v>
      </c>
      <c r="E17" t="s">
        <v>1412</v>
      </c>
      <c r="F17" s="1">
        <v>45002</v>
      </c>
      <c r="G17" t="s">
        <v>1423</v>
      </c>
    </row>
    <row r="18" spans="1:7">
      <c r="A18" t="str">
        <f>"118706000"</f>
        <v>118706000</v>
      </c>
      <c r="B18" t="s">
        <v>552</v>
      </c>
      <c r="C18" t="s">
        <v>1410</v>
      </c>
      <c r="D18" t="s">
        <v>1411</v>
      </c>
      <c r="E18" t="s">
        <v>1412</v>
      </c>
      <c r="F18" s="1">
        <v>45002</v>
      </c>
      <c r="G18" t="s">
        <v>1423</v>
      </c>
    </row>
    <row r="19" spans="1:7">
      <c r="A19" t="str">
        <f>"070468000"</f>
        <v>070468000</v>
      </c>
      <c r="B19" t="s">
        <v>553</v>
      </c>
      <c r="C19" t="s">
        <v>1419</v>
      </c>
      <c r="D19" t="s">
        <v>1411</v>
      </c>
      <c r="E19" t="s">
        <v>1415</v>
      </c>
      <c r="F19" s="1">
        <v>45355</v>
      </c>
      <c r="G19" t="s">
        <v>1413</v>
      </c>
    </row>
    <row r="20" spans="1:7">
      <c r="A20" t="str">
        <f>"010307000"</f>
        <v>010307000</v>
      </c>
      <c r="B20" t="s">
        <v>554</v>
      </c>
      <c r="C20" t="s">
        <v>1424</v>
      </c>
      <c r="D20" t="s">
        <v>1411</v>
      </c>
      <c r="E20" t="s">
        <v>1417</v>
      </c>
      <c r="F20" s="1">
        <v>45335</v>
      </c>
      <c r="G20" t="s">
        <v>1413</v>
      </c>
    </row>
    <row r="21" spans="1:7">
      <c r="A21" t="str">
        <f>"100351000"</f>
        <v>100351000</v>
      </c>
      <c r="B21" t="s">
        <v>555</v>
      </c>
      <c r="C21" t="s">
        <v>1414</v>
      </c>
      <c r="D21" t="s">
        <v>1411</v>
      </c>
      <c r="E21" t="s">
        <v>1417</v>
      </c>
      <c r="F21" s="1">
        <v>45335</v>
      </c>
      <c r="G21" t="s">
        <v>1413</v>
      </c>
    </row>
    <row r="22" spans="1:7">
      <c r="A22" t="str">
        <f>"108794000"</f>
        <v>108794000</v>
      </c>
      <c r="B22" t="s">
        <v>557</v>
      </c>
      <c r="C22" t="s">
        <v>1414</v>
      </c>
      <c r="D22" t="s">
        <v>1411</v>
      </c>
      <c r="E22" t="s">
        <v>1412</v>
      </c>
      <c r="F22" s="1">
        <v>45349</v>
      </c>
      <c r="G22" t="s">
        <v>1413</v>
      </c>
    </row>
    <row r="23" spans="1:7">
      <c r="A23" t="str">
        <f>"118703000"</f>
        <v>118703000</v>
      </c>
      <c r="B23" t="s">
        <v>559</v>
      </c>
      <c r="C23" t="s">
        <v>1410</v>
      </c>
      <c r="D23" t="s">
        <v>1411</v>
      </c>
      <c r="E23" t="s">
        <v>1412</v>
      </c>
      <c r="F23" s="1">
        <v>45349</v>
      </c>
      <c r="G23" t="s">
        <v>1413</v>
      </c>
    </row>
    <row r="24" spans="1:7">
      <c r="A24" t="str">
        <f>"078950000"</f>
        <v>078950000</v>
      </c>
      <c r="B24" t="s">
        <v>561</v>
      </c>
      <c r="C24" t="s">
        <v>1419</v>
      </c>
      <c r="D24" t="s">
        <v>1411</v>
      </c>
      <c r="E24" t="s">
        <v>1412</v>
      </c>
      <c r="F24" s="1">
        <v>45349</v>
      </c>
      <c r="G24" t="s">
        <v>1413</v>
      </c>
    </row>
    <row r="25" spans="1:7">
      <c r="A25" t="str">
        <f>"078947000"</f>
        <v>078947000</v>
      </c>
      <c r="B25" t="s">
        <v>563</v>
      </c>
      <c r="C25" t="s">
        <v>1419</v>
      </c>
      <c r="D25" t="s">
        <v>1411</v>
      </c>
      <c r="E25" t="s">
        <v>1412</v>
      </c>
      <c r="F25" s="1">
        <v>45349</v>
      </c>
      <c r="G25" t="s">
        <v>1413</v>
      </c>
    </row>
    <row r="26" spans="1:7">
      <c r="A26" t="str">
        <f>"078948000"</f>
        <v>078948000</v>
      </c>
      <c r="B26" t="s">
        <v>565</v>
      </c>
      <c r="C26" t="s">
        <v>1419</v>
      </c>
      <c r="D26" t="s">
        <v>1411</v>
      </c>
      <c r="E26" t="s">
        <v>1412</v>
      </c>
      <c r="F26" s="1">
        <v>45340</v>
      </c>
      <c r="G26" t="s">
        <v>1413</v>
      </c>
    </row>
    <row r="27" spans="1:7">
      <c r="A27" t="str">
        <f>"078951000"</f>
        <v>078951000</v>
      </c>
      <c r="B27" t="s">
        <v>567</v>
      </c>
      <c r="C27" t="s">
        <v>1419</v>
      </c>
      <c r="D27" t="s">
        <v>1411</v>
      </c>
      <c r="E27" t="s">
        <v>1412</v>
      </c>
      <c r="F27" s="1">
        <v>45351</v>
      </c>
      <c r="G27" t="s">
        <v>1413</v>
      </c>
    </row>
    <row r="28" spans="1:7">
      <c r="A28" t="str">
        <f>"078983000"</f>
        <v>078983000</v>
      </c>
      <c r="B28" t="s">
        <v>569</v>
      </c>
      <c r="C28" t="s">
        <v>1419</v>
      </c>
      <c r="D28" t="s">
        <v>1411</v>
      </c>
      <c r="E28" t="s">
        <v>1412</v>
      </c>
      <c r="F28" s="1">
        <v>45352</v>
      </c>
      <c r="G28" t="s">
        <v>1413</v>
      </c>
    </row>
    <row r="29" spans="1:7">
      <c r="A29" t="str">
        <f>"078517000"</f>
        <v>078517000</v>
      </c>
      <c r="B29" t="s">
        <v>571</v>
      </c>
      <c r="C29" t="s">
        <v>1419</v>
      </c>
      <c r="D29" t="s">
        <v>1411</v>
      </c>
      <c r="E29" t="s">
        <v>1412</v>
      </c>
      <c r="F29" s="1">
        <v>45352</v>
      </c>
      <c r="G29" t="s">
        <v>1413</v>
      </c>
    </row>
    <row r="30" spans="1:7">
      <c r="A30" t="str">
        <f>"078953000"</f>
        <v>078953000</v>
      </c>
      <c r="B30" t="s">
        <v>573</v>
      </c>
      <c r="C30" t="s">
        <v>1419</v>
      </c>
      <c r="D30" t="s">
        <v>1411</v>
      </c>
      <c r="E30" t="s">
        <v>1412</v>
      </c>
      <c r="F30" s="1">
        <v>45352</v>
      </c>
      <c r="G30" t="s">
        <v>1413</v>
      </c>
    </row>
    <row r="31" spans="1:7">
      <c r="A31" t="str">
        <f>"078956000"</f>
        <v>078956000</v>
      </c>
      <c r="B31" t="s">
        <v>575</v>
      </c>
      <c r="C31" t="s">
        <v>1419</v>
      </c>
      <c r="D31" t="s">
        <v>1411</v>
      </c>
      <c r="E31" t="s">
        <v>1412</v>
      </c>
      <c r="F31" s="1">
        <v>45351</v>
      </c>
      <c r="G31" t="s">
        <v>1413</v>
      </c>
    </row>
    <row r="32" spans="1:7">
      <c r="A32" t="str">
        <f>"118722000"</f>
        <v>118722000</v>
      </c>
      <c r="B32" t="s">
        <v>577</v>
      </c>
      <c r="C32" t="s">
        <v>1419</v>
      </c>
      <c r="D32" t="s">
        <v>1411</v>
      </c>
      <c r="E32" t="s">
        <v>1412</v>
      </c>
      <c r="F32" s="1">
        <v>45351</v>
      </c>
      <c r="G32" t="s">
        <v>1413</v>
      </c>
    </row>
    <row r="33" spans="1:7">
      <c r="A33" t="str">
        <f>"078725000"</f>
        <v>078725000</v>
      </c>
      <c r="B33" t="s">
        <v>578</v>
      </c>
      <c r="C33" t="s">
        <v>1419</v>
      </c>
      <c r="D33" t="s">
        <v>1411</v>
      </c>
      <c r="E33" t="s">
        <v>1418</v>
      </c>
      <c r="F33" s="1">
        <v>45307</v>
      </c>
      <c r="G33" t="s">
        <v>1413</v>
      </c>
    </row>
    <row r="34" spans="1:7">
      <c r="A34" t="str">
        <f>"100210000"</f>
        <v>100210000</v>
      </c>
      <c r="B34" t="s">
        <v>579</v>
      </c>
      <c r="C34" t="s">
        <v>1414</v>
      </c>
      <c r="D34" t="s">
        <v>1411</v>
      </c>
      <c r="E34" t="s">
        <v>1412</v>
      </c>
      <c r="F34" s="1">
        <v>45352</v>
      </c>
      <c r="G34" t="s">
        <v>1413</v>
      </c>
    </row>
    <row r="35" spans="1:7">
      <c r="A35" t="str">
        <f>"140550000"</f>
        <v>140550000</v>
      </c>
      <c r="B35" t="s">
        <v>581</v>
      </c>
      <c r="C35" t="s">
        <v>1425</v>
      </c>
      <c r="D35" t="s">
        <v>1411</v>
      </c>
      <c r="E35" t="s">
        <v>1412</v>
      </c>
      <c r="F35" s="1">
        <v>45345</v>
      </c>
      <c r="G35" t="s">
        <v>1413</v>
      </c>
    </row>
    <row r="36" spans="1:7">
      <c r="A36" t="str">
        <f>"078525000"</f>
        <v>078525000</v>
      </c>
      <c r="B36" t="s">
        <v>582</v>
      </c>
      <c r="C36" t="s">
        <v>1419</v>
      </c>
      <c r="D36" t="s">
        <v>1411</v>
      </c>
      <c r="E36" t="s">
        <v>1426</v>
      </c>
      <c r="F36" s="1">
        <v>45336</v>
      </c>
      <c r="G36" t="s">
        <v>1413</v>
      </c>
    </row>
    <row r="37" spans="1:7">
      <c r="A37" t="str">
        <f>"016001000"</f>
        <v>016001000</v>
      </c>
      <c r="B37" t="s">
        <v>584</v>
      </c>
      <c r="C37" t="s">
        <v>1424</v>
      </c>
      <c r="D37" t="s">
        <v>1411</v>
      </c>
      <c r="E37" t="s">
        <v>1427</v>
      </c>
      <c r="F37" s="1">
        <v>44984</v>
      </c>
      <c r="G37" t="s">
        <v>1423</v>
      </c>
    </row>
    <row r="38" spans="1:7">
      <c r="A38" t="str">
        <f>"020342000"</f>
        <v>020342000</v>
      </c>
      <c r="B38" t="s">
        <v>585</v>
      </c>
      <c r="C38" t="s">
        <v>1428</v>
      </c>
      <c r="D38" t="s">
        <v>1411</v>
      </c>
      <c r="E38" t="s">
        <v>1417</v>
      </c>
      <c r="F38" s="1">
        <v>45301</v>
      </c>
      <c r="G38" t="s">
        <v>1413</v>
      </c>
    </row>
    <row r="39" spans="1:7">
      <c r="A39" t="str">
        <f>"110243000"</f>
        <v>110243000</v>
      </c>
      <c r="B39" t="s">
        <v>586</v>
      </c>
      <c r="C39" t="s">
        <v>1410</v>
      </c>
      <c r="D39" t="s">
        <v>1411</v>
      </c>
      <c r="E39" t="s">
        <v>1417</v>
      </c>
      <c r="F39" s="1">
        <v>45335</v>
      </c>
      <c r="G39" t="s">
        <v>1413</v>
      </c>
    </row>
    <row r="40" spans="1:7">
      <c r="A40" t="str">
        <f>"108785000"</f>
        <v>108785000</v>
      </c>
      <c r="B40" t="s">
        <v>587</v>
      </c>
      <c r="C40" t="s">
        <v>1414</v>
      </c>
      <c r="D40" t="s">
        <v>1411</v>
      </c>
      <c r="E40" t="s">
        <v>1415</v>
      </c>
      <c r="F40" s="1">
        <v>45356</v>
      </c>
      <c r="G40" t="s">
        <v>1413</v>
      </c>
    </row>
    <row r="41" spans="1:7">
      <c r="A41" t="str">
        <f>"118721000"</f>
        <v>118721000</v>
      </c>
      <c r="B41" t="s">
        <v>588</v>
      </c>
      <c r="C41" t="s">
        <v>1410</v>
      </c>
      <c r="D41" t="s">
        <v>1411</v>
      </c>
      <c r="E41" t="s">
        <v>1417</v>
      </c>
      <c r="F41" s="1">
        <v>45334</v>
      </c>
      <c r="G41" t="s">
        <v>1413</v>
      </c>
    </row>
    <row r="42" spans="1:7">
      <c r="A42" t="str">
        <f>"078247000"</f>
        <v>078247000</v>
      </c>
      <c r="B42" t="s">
        <v>589</v>
      </c>
      <c r="C42" t="s">
        <v>1419</v>
      </c>
      <c r="D42" t="s">
        <v>1411</v>
      </c>
      <c r="E42" t="s">
        <v>1426</v>
      </c>
      <c r="F42" s="1">
        <v>45336</v>
      </c>
      <c r="G42" t="s">
        <v>1413</v>
      </c>
    </row>
    <row r="43" spans="1:7">
      <c r="A43" t="str">
        <f>"078597000"</f>
        <v>078597000</v>
      </c>
      <c r="B43" t="s">
        <v>590</v>
      </c>
      <c r="C43" t="s">
        <v>1419</v>
      </c>
      <c r="D43" t="s">
        <v>1411</v>
      </c>
      <c r="E43" t="s">
        <v>1426</v>
      </c>
      <c r="F43" s="1">
        <v>45336</v>
      </c>
      <c r="G43" t="s">
        <v>1413</v>
      </c>
    </row>
    <row r="44" spans="1:7">
      <c r="A44" t="str">
        <f>"078248000"</f>
        <v>078248000</v>
      </c>
      <c r="B44" t="s">
        <v>591</v>
      </c>
      <c r="C44" t="s">
        <v>1419</v>
      </c>
      <c r="D44" t="s">
        <v>1411</v>
      </c>
      <c r="E44" t="s">
        <v>1426</v>
      </c>
      <c r="F44" s="1">
        <v>45336</v>
      </c>
      <c r="G44" t="s">
        <v>1413</v>
      </c>
    </row>
    <row r="45" spans="1:7">
      <c r="A45" t="str">
        <f>"078406000"</f>
        <v>078406000</v>
      </c>
      <c r="B45" t="s">
        <v>592</v>
      </c>
      <c r="C45" t="s">
        <v>1419</v>
      </c>
      <c r="D45" t="s">
        <v>1411</v>
      </c>
      <c r="E45" t="s">
        <v>1426</v>
      </c>
      <c r="F45" s="1">
        <v>45352</v>
      </c>
      <c r="G45" t="s">
        <v>1413</v>
      </c>
    </row>
    <row r="46" spans="1:7">
      <c r="A46" t="str">
        <f>"078234000"</f>
        <v>078234000</v>
      </c>
      <c r="B46" t="s">
        <v>593</v>
      </c>
      <c r="C46" t="s">
        <v>1419</v>
      </c>
      <c r="D46" t="s">
        <v>1411</v>
      </c>
      <c r="E46" t="s">
        <v>1426</v>
      </c>
      <c r="F46" s="1">
        <v>45352</v>
      </c>
      <c r="G46" t="s">
        <v>1413</v>
      </c>
    </row>
    <row r="47" spans="1:7">
      <c r="A47" t="str">
        <f>"078214000"</f>
        <v>078214000</v>
      </c>
      <c r="B47" t="s">
        <v>594</v>
      </c>
      <c r="C47" t="s">
        <v>1419</v>
      </c>
      <c r="D47" t="s">
        <v>1411</v>
      </c>
      <c r="E47" t="s">
        <v>1426</v>
      </c>
      <c r="F47" s="1">
        <v>45352</v>
      </c>
      <c r="G47" t="s">
        <v>1413</v>
      </c>
    </row>
    <row r="48" spans="1:7">
      <c r="A48" t="str">
        <f>"078590000"</f>
        <v>078590000</v>
      </c>
      <c r="B48" t="s">
        <v>595</v>
      </c>
      <c r="C48" t="s">
        <v>1419</v>
      </c>
      <c r="D48" t="s">
        <v>1411</v>
      </c>
      <c r="E48" t="s">
        <v>1426</v>
      </c>
      <c r="F48" s="1">
        <v>45352</v>
      </c>
      <c r="G48" t="s">
        <v>1413</v>
      </c>
    </row>
    <row r="49" spans="1:7">
      <c r="A49" t="str">
        <f>"078470000"</f>
        <v>078470000</v>
      </c>
      <c r="B49" t="s">
        <v>596</v>
      </c>
      <c r="C49" t="s">
        <v>1419</v>
      </c>
      <c r="D49" t="s">
        <v>1411</v>
      </c>
      <c r="E49" t="s">
        <v>1426</v>
      </c>
      <c r="F49" s="1">
        <v>45355</v>
      </c>
      <c r="G49" t="s">
        <v>1413</v>
      </c>
    </row>
    <row r="50" spans="1:7">
      <c r="A50" t="str">
        <f>"078595000"</f>
        <v>078595000</v>
      </c>
      <c r="B50" t="s">
        <v>596</v>
      </c>
      <c r="C50" t="s">
        <v>1419</v>
      </c>
      <c r="D50" t="s">
        <v>1411</v>
      </c>
      <c r="E50" t="s">
        <v>1426</v>
      </c>
      <c r="F50" s="1">
        <v>45355</v>
      </c>
      <c r="G50" t="s">
        <v>1413</v>
      </c>
    </row>
    <row r="51" spans="1:7">
      <c r="A51" t="str">
        <f>"078596000"</f>
        <v>078596000</v>
      </c>
      <c r="B51" t="s">
        <v>597</v>
      </c>
      <c r="C51" t="s">
        <v>1419</v>
      </c>
      <c r="D51" t="s">
        <v>1411</v>
      </c>
      <c r="E51" t="s">
        <v>1426</v>
      </c>
      <c r="F51" s="1">
        <v>45355</v>
      </c>
      <c r="G51" t="s">
        <v>1413</v>
      </c>
    </row>
    <row r="52" spans="1:7">
      <c r="A52" t="str">
        <f>"078527000"</f>
        <v>078527000</v>
      </c>
      <c r="B52" t="s">
        <v>599</v>
      </c>
      <c r="C52" t="s">
        <v>1419</v>
      </c>
      <c r="D52" t="s">
        <v>1411</v>
      </c>
      <c r="E52" t="s">
        <v>1426</v>
      </c>
      <c r="F52" s="1">
        <v>45355</v>
      </c>
      <c r="G52" t="s">
        <v>1413</v>
      </c>
    </row>
    <row r="53" spans="1:7">
      <c r="A53" t="str">
        <f>"078412000"</f>
        <v>078412000</v>
      </c>
      <c r="B53" t="s">
        <v>601</v>
      </c>
      <c r="C53" t="s">
        <v>1419</v>
      </c>
      <c r="D53" t="s">
        <v>1411</v>
      </c>
      <c r="E53" t="s">
        <v>1412</v>
      </c>
      <c r="F53" s="1">
        <v>45340</v>
      </c>
      <c r="G53" t="s">
        <v>1413</v>
      </c>
    </row>
    <row r="54" spans="1:7">
      <c r="A54" t="str">
        <f>"078587000"</f>
        <v>078587000</v>
      </c>
      <c r="B54" t="s">
        <v>603</v>
      </c>
      <c r="C54" t="s">
        <v>1419</v>
      </c>
      <c r="D54" t="s">
        <v>1411</v>
      </c>
      <c r="E54" t="s">
        <v>1412</v>
      </c>
      <c r="F54" s="1">
        <v>45340</v>
      </c>
      <c r="G54" t="s">
        <v>1413</v>
      </c>
    </row>
    <row r="55" spans="1:7">
      <c r="A55" t="str">
        <f>"078707000"</f>
        <v>078707000</v>
      </c>
      <c r="B55" t="s">
        <v>603</v>
      </c>
      <c r="C55" t="s">
        <v>1419</v>
      </c>
      <c r="D55" t="s">
        <v>1411</v>
      </c>
      <c r="E55" t="s">
        <v>1412</v>
      </c>
      <c r="F55" s="1">
        <v>45340</v>
      </c>
      <c r="G55" t="s">
        <v>1413</v>
      </c>
    </row>
    <row r="56" spans="1:7">
      <c r="A56" t="str">
        <f>"138785000"</f>
        <v>138785000</v>
      </c>
      <c r="B56" t="s">
        <v>603</v>
      </c>
      <c r="C56" t="s">
        <v>1420</v>
      </c>
      <c r="D56" t="s">
        <v>1411</v>
      </c>
      <c r="E56" t="s">
        <v>1412</v>
      </c>
      <c r="F56" s="1">
        <v>45340</v>
      </c>
      <c r="G56" t="s">
        <v>1413</v>
      </c>
    </row>
    <row r="57" spans="1:7">
      <c r="A57" t="str">
        <f>"078993000"</f>
        <v>078993000</v>
      </c>
      <c r="B57" t="s">
        <v>603</v>
      </c>
      <c r="C57" t="s">
        <v>1419</v>
      </c>
      <c r="D57" t="s">
        <v>1411</v>
      </c>
      <c r="E57" t="s">
        <v>1412</v>
      </c>
      <c r="F57" s="1">
        <v>45340</v>
      </c>
      <c r="G57" t="s">
        <v>1413</v>
      </c>
    </row>
    <row r="58" spans="1:7">
      <c r="A58" t="str">
        <f>"078226000"</f>
        <v>078226000</v>
      </c>
      <c r="B58" t="s">
        <v>607</v>
      </c>
      <c r="C58" t="s">
        <v>1419</v>
      </c>
      <c r="D58" t="s">
        <v>1411</v>
      </c>
      <c r="E58" t="s">
        <v>1412</v>
      </c>
      <c r="F58" s="1">
        <v>45359</v>
      </c>
      <c r="G58" t="s">
        <v>1413</v>
      </c>
    </row>
    <row r="59" spans="1:7">
      <c r="A59" t="str">
        <f>"078723000"</f>
        <v>078723000</v>
      </c>
      <c r="B59" t="s">
        <v>609</v>
      </c>
      <c r="C59" t="s">
        <v>1419</v>
      </c>
      <c r="D59" t="s">
        <v>1411</v>
      </c>
      <c r="E59" t="s">
        <v>1417</v>
      </c>
      <c r="F59" s="1">
        <v>45335</v>
      </c>
      <c r="G59" t="s">
        <v>1413</v>
      </c>
    </row>
    <row r="60" spans="1:7">
      <c r="A60" t="str">
        <f>"078644000"</f>
        <v>078644000</v>
      </c>
      <c r="B60" t="s">
        <v>610</v>
      </c>
      <c r="C60" t="s">
        <v>1419</v>
      </c>
      <c r="D60" t="s">
        <v>1411</v>
      </c>
      <c r="E60" t="s">
        <v>1427</v>
      </c>
      <c r="F60" s="1">
        <v>45335</v>
      </c>
      <c r="G60" t="s">
        <v>1423</v>
      </c>
    </row>
    <row r="61" spans="1:7">
      <c r="A61" t="str">
        <f>"108709000"</f>
        <v>108709000</v>
      </c>
      <c r="B61" t="s">
        <v>611</v>
      </c>
      <c r="C61" t="s">
        <v>1414</v>
      </c>
      <c r="D61" t="s">
        <v>1411</v>
      </c>
      <c r="E61" t="s">
        <v>1412</v>
      </c>
      <c r="F61" s="1">
        <v>45351</v>
      </c>
      <c r="G61" t="s">
        <v>1413</v>
      </c>
    </row>
    <row r="62" spans="1:7">
      <c r="A62" t="str">
        <f>"078511000"</f>
        <v>078511000</v>
      </c>
      <c r="B62" t="s">
        <v>612</v>
      </c>
      <c r="C62" t="s">
        <v>1419</v>
      </c>
      <c r="D62" t="s">
        <v>1411</v>
      </c>
      <c r="E62" t="s">
        <v>1412</v>
      </c>
      <c r="F62" s="1">
        <v>45348</v>
      </c>
      <c r="G62" t="s">
        <v>1413</v>
      </c>
    </row>
    <row r="63" spans="1:7">
      <c r="A63" t="str">
        <f>"211002000"</f>
        <v>211002000</v>
      </c>
      <c r="B63" t="s">
        <v>614</v>
      </c>
      <c r="C63" t="s">
        <v>1419</v>
      </c>
      <c r="D63" t="s">
        <v>1411</v>
      </c>
      <c r="E63" t="s">
        <v>1415</v>
      </c>
      <c r="F63" s="1">
        <v>45357</v>
      </c>
      <c r="G63" t="s">
        <v>1413</v>
      </c>
    </row>
    <row r="64" spans="1:7">
      <c r="A64" t="str">
        <f>"000111000"</f>
        <v>000111000</v>
      </c>
      <c r="B64" t="s">
        <v>616</v>
      </c>
      <c r="C64" t="s">
        <v>1419</v>
      </c>
      <c r="D64" t="s">
        <v>1411</v>
      </c>
      <c r="E64" t="s">
        <v>1429</v>
      </c>
      <c r="F64" s="1">
        <v>44986</v>
      </c>
      <c r="G64" t="s">
        <v>1423</v>
      </c>
    </row>
    <row r="65" spans="1:7">
      <c r="A65" t="str">
        <f>"078582000"</f>
        <v>078582000</v>
      </c>
      <c r="B65" t="s">
        <v>617</v>
      </c>
      <c r="C65" t="s">
        <v>1419</v>
      </c>
      <c r="D65" t="s">
        <v>1411</v>
      </c>
      <c r="E65" t="s">
        <v>1417</v>
      </c>
      <c r="F65" s="1">
        <v>45335</v>
      </c>
      <c r="G65" t="s">
        <v>1413</v>
      </c>
    </row>
    <row r="66" spans="1:7">
      <c r="A66" t="str">
        <f>"078111000"</f>
        <v>078111000</v>
      </c>
      <c r="B66" t="s">
        <v>619</v>
      </c>
      <c r="C66" t="s">
        <v>1419</v>
      </c>
      <c r="D66" t="s">
        <v>1411</v>
      </c>
      <c r="E66" t="s">
        <v>1427</v>
      </c>
      <c r="F66" s="1">
        <v>44984</v>
      </c>
      <c r="G66" t="s">
        <v>1423</v>
      </c>
    </row>
    <row r="67" spans="1:7">
      <c r="A67" t="str">
        <f>"078260000"</f>
        <v>078260000</v>
      </c>
      <c r="B67" t="s">
        <v>620</v>
      </c>
      <c r="C67" t="s">
        <v>1419</v>
      </c>
      <c r="D67" t="s">
        <v>1411</v>
      </c>
      <c r="E67" t="s">
        <v>1417</v>
      </c>
      <c r="F67" s="1">
        <v>45266</v>
      </c>
      <c r="G67" t="s">
        <v>1413</v>
      </c>
    </row>
    <row r="68" spans="1:7">
      <c r="A68" t="str">
        <f>"078696000"</f>
        <v>078696000</v>
      </c>
      <c r="B68" t="s">
        <v>621</v>
      </c>
      <c r="C68" t="s">
        <v>1419</v>
      </c>
      <c r="D68" t="s">
        <v>1411</v>
      </c>
      <c r="E68" t="s">
        <v>1412</v>
      </c>
      <c r="F68" s="1">
        <v>45030</v>
      </c>
      <c r="G68" t="s">
        <v>1423</v>
      </c>
    </row>
    <row r="69" spans="1:7">
      <c r="A69" t="str">
        <f>"078722000"</f>
        <v>078722000</v>
      </c>
      <c r="B69" t="s">
        <v>623</v>
      </c>
      <c r="C69" t="s">
        <v>1419</v>
      </c>
      <c r="D69" t="s">
        <v>1411</v>
      </c>
      <c r="E69" t="s">
        <v>1412</v>
      </c>
      <c r="F69" s="1">
        <v>45356</v>
      </c>
      <c r="G69" t="s">
        <v>1413</v>
      </c>
    </row>
    <row r="70" spans="1:7">
      <c r="A70" t="str">
        <f>"001202000"</f>
        <v>001202000</v>
      </c>
      <c r="B70" t="s">
        <v>624</v>
      </c>
      <c r="C70" t="s">
        <v>1419</v>
      </c>
      <c r="D70" t="s">
        <v>1411</v>
      </c>
      <c r="E70" t="s">
        <v>1415</v>
      </c>
      <c r="F70" s="1">
        <v>45357</v>
      </c>
      <c r="G70" t="s">
        <v>1413</v>
      </c>
    </row>
    <row r="71" spans="1:7">
      <c r="A71" t="str">
        <f>"070447000"</f>
        <v>070447000</v>
      </c>
      <c r="B71" t="s">
        <v>625</v>
      </c>
      <c r="C71" t="s">
        <v>1419</v>
      </c>
      <c r="D71" t="s">
        <v>1411</v>
      </c>
      <c r="E71" t="s">
        <v>1412</v>
      </c>
      <c r="F71" s="1">
        <v>45344</v>
      </c>
      <c r="G71" t="s">
        <v>1413</v>
      </c>
    </row>
    <row r="72" spans="1:7">
      <c r="A72" t="str">
        <f>"020453000"</f>
        <v>020453000</v>
      </c>
      <c r="B72" t="s">
        <v>626</v>
      </c>
      <c r="C72" t="s">
        <v>1428</v>
      </c>
      <c r="D72" t="s">
        <v>1411</v>
      </c>
      <c r="E72" t="s">
        <v>1418</v>
      </c>
      <c r="F72" s="1">
        <v>45355</v>
      </c>
      <c r="G72" t="s">
        <v>1413</v>
      </c>
    </row>
    <row r="73" spans="1:7">
      <c r="A73" t="str">
        <f>"130231000"</f>
        <v>130231000</v>
      </c>
      <c r="B73" t="s">
        <v>627</v>
      </c>
      <c r="C73" t="s">
        <v>1420</v>
      </c>
      <c r="D73" t="s">
        <v>1411</v>
      </c>
      <c r="E73" t="s">
        <v>1412</v>
      </c>
      <c r="F73" s="1">
        <v>45356</v>
      </c>
      <c r="G73" t="s">
        <v>1413</v>
      </c>
    </row>
    <row r="74" spans="1:7">
      <c r="A74" t="str">
        <f>"118716000"</f>
        <v>118716000</v>
      </c>
      <c r="B74" t="s">
        <v>629</v>
      </c>
      <c r="C74" t="s">
        <v>1410</v>
      </c>
      <c r="D74" t="s">
        <v>1411</v>
      </c>
      <c r="E74" t="s">
        <v>1412</v>
      </c>
      <c r="F74" s="1">
        <v>45355</v>
      </c>
      <c r="G74" t="s">
        <v>1413</v>
      </c>
    </row>
    <row r="75" spans="1:7">
      <c r="A75" t="str">
        <f>"078284000"</f>
        <v>078284000</v>
      </c>
      <c r="B75" t="s">
        <v>630</v>
      </c>
      <c r="C75" t="s">
        <v>1419</v>
      </c>
      <c r="D75" t="s">
        <v>1411</v>
      </c>
      <c r="E75" t="s">
        <v>1412</v>
      </c>
      <c r="F75" s="1">
        <v>45352</v>
      </c>
      <c r="G75" t="s">
        <v>1413</v>
      </c>
    </row>
    <row r="76" spans="1:7">
      <c r="A76" t="str">
        <f>"078277000"</f>
        <v>078277000</v>
      </c>
      <c r="B76" t="s">
        <v>632</v>
      </c>
      <c r="C76" t="s">
        <v>1419</v>
      </c>
      <c r="D76" t="s">
        <v>1411</v>
      </c>
      <c r="E76" t="s">
        <v>1412</v>
      </c>
      <c r="F76" s="1">
        <v>45355</v>
      </c>
      <c r="G76" t="s">
        <v>1413</v>
      </c>
    </row>
    <row r="77" spans="1:7">
      <c r="A77" t="str">
        <f>"078251000"</f>
        <v>078251000</v>
      </c>
      <c r="B77" t="s">
        <v>632</v>
      </c>
      <c r="C77" t="s">
        <v>1419</v>
      </c>
      <c r="D77" t="s">
        <v>1411</v>
      </c>
      <c r="E77" t="s">
        <v>1412</v>
      </c>
      <c r="F77" s="1">
        <v>45355</v>
      </c>
      <c r="G77" t="s">
        <v>1413</v>
      </c>
    </row>
    <row r="78" spans="1:7">
      <c r="A78" t="str">
        <f>"078267000"</f>
        <v>078267000</v>
      </c>
      <c r="B78" t="s">
        <v>632</v>
      </c>
      <c r="C78" t="s">
        <v>1419</v>
      </c>
      <c r="D78" t="s">
        <v>1411</v>
      </c>
      <c r="E78" t="s">
        <v>1412</v>
      </c>
      <c r="F78" s="1">
        <v>45355</v>
      </c>
      <c r="G78" t="s">
        <v>1413</v>
      </c>
    </row>
    <row r="79" spans="1:7">
      <c r="A79" t="str">
        <f>"078559000"</f>
        <v>078559000</v>
      </c>
      <c r="B79" t="s">
        <v>632</v>
      </c>
      <c r="C79" t="s">
        <v>1419</v>
      </c>
      <c r="D79" t="s">
        <v>1411</v>
      </c>
      <c r="E79" t="s">
        <v>1412</v>
      </c>
      <c r="F79" s="1">
        <v>45355</v>
      </c>
      <c r="G79" t="s">
        <v>1413</v>
      </c>
    </row>
    <row r="80" spans="1:7">
      <c r="A80" t="str">
        <f>"078207000"</f>
        <v>078207000</v>
      </c>
      <c r="B80" t="s">
        <v>632</v>
      </c>
      <c r="C80" t="s">
        <v>1419</v>
      </c>
      <c r="D80" t="s">
        <v>1411</v>
      </c>
      <c r="E80" t="s">
        <v>1412</v>
      </c>
      <c r="F80" s="1">
        <v>45355</v>
      </c>
      <c r="G80" t="s">
        <v>1413</v>
      </c>
    </row>
    <row r="81" spans="1:7">
      <c r="A81" t="str">
        <f>"078250000"</f>
        <v>078250000</v>
      </c>
      <c r="B81" t="s">
        <v>632</v>
      </c>
      <c r="C81" t="s">
        <v>1419</v>
      </c>
      <c r="D81" t="s">
        <v>1411</v>
      </c>
      <c r="E81" t="s">
        <v>1412</v>
      </c>
      <c r="F81" s="1">
        <v>45353</v>
      </c>
      <c r="G81" t="s">
        <v>1413</v>
      </c>
    </row>
    <row r="82" spans="1:7">
      <c r="A82" t="str">
        <f>"078208000"</f>
        <v>078208000</v>
      </c>
      <c r="B82" t="s">
        <v>632</v>
      </c>
      <c r="C82" t="s">
        <v>1419</v>
      </c>
      <c r="D82" t="s">
        <v>1411</v>
      </c>
      <c r="E82" t="s">
        <v>1412</v>
      </c>
      <c r="F82" s="1">
        <v>45355</v>
      </c>
      <c r="G82" t="s">
        <v>1413</v>
      </c>
    </row>
    <row r="83" spans="1:7">
      <c r="A83" t="str">
        <f>"078205000"</f>
        <v>078205000</v>
      </c>
      <c r="B83" t="s">
        <v>632</v>
      </c>
      <c r="C83" t="s">
        <v>1419</v>
      </c>
      <c r="D83" t="s">
        <v>1411</v>
      </c>
      <c r="E83" t="s">
        <v>1412</v>
      </c>
      <c r="F83" s="1">
        <v>45355</v>
      </c>
      <c r="G83" t="s">
        <v>1413</v>
      </c>
    </row>
    <row r="84" spans="1:7">
      <c r="A84" t="str">
        <f>"078546000"</f>
        <v>078546000</v>
      </c>
      <c r="B84" t="s">
        <v>632</v>
      </c>
      <c r="C84" t="s">
        <v>1419</v>
      </c>
      <c r="D84" t="s">
        <v>1411</v>
      </c>
      <c r="E84" t="s">
        <v>1412</v>
      </c>
      <c r="F84" s="1">
        <v>45353</v>
      </c>
      <c r="G84" t="s">
        <v>1413</v>
      </c>
    </row>
    <row r="85" spans="1:7">
      <c r="A85" t="str">
        <f>"070444000"</f>
        <v>070444000</v>
      </c>
      <c r="B85" t="s">
        <v>638</v>
      </c>
      <c r="C85" t="s">
        <v>1419</v>
      </c>
      <c r="D85" t="s">
        <v>1411</v>
      </c>
      <c r="E85" t="s">
        <v>1422</v>
      </c>
      <c r="F85" s="1">
        <v>45358</v>
      </c>
      <c r="G85" t="s">
        <v>1413</v>
      </c>
    </row>
    <row r="86" spans="1:7">
      <c r="A86" t="str">
        <f>"078614000"</f>
        <v>078614000</v>
      </c>
      <c r="B86" t="s">
        <v>640</v>
      </c>
      <c r="C86" t="s">
        <v>1419</v>
      </c>
      <c r="D86" t="s">
        <v>1411</v>
      </c>
      <c r="E86" t="s">
        <v>1412</v>
      </c>
      <c r="F86" s="1">
        <v>45030</v>
      </c>
      <c r="G86" t="s">
        <v>1423</v>
      </c>
    </row>
    <row r="87" spans="1:7">
      <c r="A87" t="str">
        <f>"078542000"</f>
        <v>078542000</v>
      </c>
      <c r="B87" t="s">
        <v>642</v>
      </c>
      <c r="C87" t="s">
        <v>1419</v>
      </c>
      <c r="D87" t="s">
        <v>1411</v>
      </c>
      <c r="E87" t="s">
        <v>1417</v>
      </c>
      <c r="F87" s="1">
        <v>45335</v>
      </c>
      <c r="G87" t="s">
        <v>1413</v>
      </c>
    </row>
    <row r="88" spans="1:7">
      <c r="A88" t="str">
        <f>"211001000"</f>
        <v>211001000</v>
      </c>
      <c r="B88" t="s">
        <v>644</v>
      </c>
      <c r="C88" t="s">
        <v>1419</v>
      </c>
      <c r="D88" t="s">
        <v>1411</v>
      </c>
      <c r="E88" t="s">
        <v>1417</v>
      </c>
      <c r="F88" s="1">
        <v>45335</v>
      </c>
      <c r="G88" t="s">
        <v>1413</v>
      </c>
    </row>
    <row r="89" spans="1:7">
      <c r="A89" t="str">
        <f>"100240000"</f>
        <v>100240000</v>
      </c>
      <c r="B89" t="s">
        <v>645</v>
      </c>
      <c r="C89" t="s">
        <v>1414</v>
      </c>
      <c r="D89" t="s">
        <v>1411</v>
      </c>
      <c r="E89" t="s">
        <v>1412</v>
      </c>
      <c r="F89" s="1">
        <v>45341</v>
      </c>
      <c r="G89" t="s">
        <v>1413</v>
      </c>
    </row>
    <row r="90" spans="1:7">
      <c r="A90" t="str">
        <f>"130220000"</f>
        <v>130220000</v>
      </c>
      <c r="B90" t="s">
        <v>646</v>
      </c>
      <c r="C90" t="s">
        <v>1420</v>
      </c>
      <c r="D90" t="s">
        <v>1411</v>
      </c>
      <c r="E90" t="s">
        <v>1412</v>
      </c>
      <c r="F90" s="1">
        <v>45357</v>
      </c>
      <c r="G90" t="s">
        <v>1413</v>
      </c>
    </row>
    <row r="91" spans="1:7">
      <c r="A91" t="str">
        <f>"078988000"</f>
        <v>078988000</v>
      </c>
      <c r="B91" t="s">
        <v>647</v>
      </c>
      <c r="C91" t="s">
        <v>1419</v>
      </c>
      <c r="D91" t="s">
        <v>1411</v>
      </c>
      <c r="E91" t="s">
        <v>1412</v>
      </c>
      <c r="F91" s="1">
        <v>45352</v>
      </c>
      <c r="G91" t="s">
        <v>1413</v>
      </c>
    </row>
    <row r="92" spans="1:7">
      <c r="A92" t="str">
        <f>"078987000"</f>
        <v>078987000</v>
      </c>
      <c r="B92" t="s">
        <v>648</v>
      </c>
      <c r="C92" t="s">
        <v>1419</v>
      </c>
      <c r="D92" t="s">
        <v>1411</v>
      </c>
      <c r="E92" t="s">
        <v>1412</v>
      </c>
      <c r="F92" s="1">
        <v>45352</v>
      </c>
      <c r="G92" t="s">
        <v>1413</v>
      </c>
    </row>
    <row r="93" spans="1:7">
      <c r="A93" t="str">
        <f>"078586000"</f>
        <v>078586000</v>
      </c>
      <c r="B93" t="s">
        <v>649</v>
      </c>
      <c r="C93" t="s">
        <v>1419</v>
      </c>
      <c r="D93" t="s">
        <v>1411</v>
      </c>
      <c r="E93" t="s">
        <v>1412</v>
      </c>
      <c r="F93" s="1">
        <v>45352</v>
      </c>
      <c r="G93" t="s">
        <v>1413</v>
      </c>
    </row>
    <row r="94" spans="1:7">
      <c r="A94" t="str">
        <f>"070431000"</f>
        <v>070431000</v>
      </c>
      <c r="B94" t="s">
        <v>650</v>
      </c>
      <c r="C94" t="s">
        <v>1419</v>
      </c>
      <c r="D94" t="s">
        <v>1411</v>
      </c>
      <c r="E94" t="s">
        <v>1422</v>
      </c>
      <c r="F94" s="1">
        <v>45359</v>
      </c>
      <c r="G94" t="s">
        <v>1413</v>
      </c>
    </row>
    <row r="95" spans="1:7">
      <c r="A95" t="str">
        <f>"078588000"</f>
        <v>078588000</v>
      </c>
      <c r="B95" t="s">
        <v>652</v>
      </c>
      <c r="C95" t="s">
        <v>1419</v>
      </c>
      <c r="D95" t="s">
        <v>1411</v>
      </c>
      <c r="E95" t="s">
        <v>1412</v>
      </c>
      <c r="F95" s="1">
        <v>45338</v>
      </c>
      <c r="G95" t="s">
        <v>1413</v>
      </c>
    </row>
    <row r="96" spans="1:7">
      <c r="A96" t="str">
        <f>"078736000"</f>
        <v>078736000</v>
      </c>
      <c r="B96" t="s">
        <v>652</v>
      </c>
      <c r="C96" t="s">
        <v>1419</v>
      </c>
      <c r="D96" t="s">
        <v>1411</v>
      </c>
      <c r="E96" t="s">
        <v>1412</v>
      </c>
      <c r="F96" s="1">
        <v>45339</v>
      </c>
      <c r="G96" t="s">
        <v>1413</v>
      </c>
    </row>
    <row r="97" spans="1:7">
      <c r="A97" t="str">
        <f>"138786000"</f>
        <v>138786000</v>
      </c>
      <c r="B97" t="s">
        <v>652</v>
      </c>
      <c r="C97" t="s">
        <v>1420</v>
      </c>
      <c r="D97" t="s">
        <v>1411</v>
      </c>
      <c r="E97" t="s">
        <v>1412</v>
      </c>
      <c r="F97" s="1">
        <v>45341</v>
      </c>
      <c r="G97" t="s">
        <v>1413</v>
      </c>
    </row>
    <row r="98" spans="1:7">
      <c r="A98" t="str">
        <f>"108404000"</f>
        <v>108404000</v>
      </c>
      <c r="B98" t="s">
        <v>652</v>
      </c>
      <c r="C98" t="s">
        <v>1414</v>
      </c>
      <c r="D98" t="s">
        <v>1411</v>
      </c>
      <c r="E98" t="s">
        <v>1412</v>
      </c>
      <c r="F98" s="1">
        <v>45339</v>
      </c>
      <c r="G98" t="s">
        <v>1413</v>
      </c>
    </row>
    <row r="99" spans="1:7">
      <c r="A99" t="str">
        <f>"078589000"</f>
        <v>078589000</v>
      </c>
      <c r="B99" t="s">
        <v>652</v>
      </c>
      <c r="C99" t="s">
        <v>1419</v>
      </c>
      <c r="D99" t="s">
        <v>1411</v>
      </c>
      <c r="E99" t="s">
        <v>1412</v>
      </c>
      <c r="F99" s="1">
        <v>45338</v>
      </c>
      <c r="G99" t="s">
        <v>1413</v>
      </c>
    </row>
    <row r="100" spans="1:7">
      <c r="A100" t="str">
        <f>"078269000"</f>
        <v>078269000</v>
      </c>
      <c r="B100" t="s">
        <v>652</v>
      </c>
      <c r="C100" t="s">
        <v>1419</v>
      </c>
      <c r="D100" t="s">
        <v>1411</v>
      </c>
      <c r="E100" t="s">
        <v>1412</v>
      </c>
      <c r="F100" s="1">
        <v>45338</v>
      </c>
      <c r="G100" t="s">
        <v>1413</v>
      </c>
    </row>
    <row r="101" spans="1:7">
      <c r="A101" t="str">
        <f>"078231000"</f>
        <v>078231000</v>
      </c>
      <c r="B101" t="s">
        <v>652</v>
      </c>
      <c r="C101" t="s">
        <v>1419</v>
      </c>
      <c r="D101" t="s">
        <v>1411</v>
      </c>
      <c r="E101" t="s">
        <v>1412</v>
      </c>
      <c r="F101" s="1">
        <v>45336</v>
      </c>
      <c r="G101" t="s">
        <v>1413</v>
      </c>
    </row>
    <row r="102" spans="1:7">
      <c r="A102" t="str">
        <f>"078288000"</f>
        <v>078288000</v>
      </c>
      <c r="B102" t="s">
        <v>652</v>
      </c>
      <c r="C102" t="s">
        <v>1419</v>
      </c>
      <c r="D102" t="s">
        <v>1411</v>
      </c>
      <c r="E102" t="s">
        <v>1412</v>
      </c>
      <c r="F102" s="1">
        <v>45338</v>
      </c>
      <c r="G102" t="s">
        <v>1413</v>
      </c>
    </row>
    <row r="103" spans="1:7">
      <c r="A103" t="str">
        <f>"078282000"</f>
        <v>078282000</v>
      </c>
      <c r="B103" t="s">
        <v>652</v>
      </c>
      <c r="C103" t="s">
        <v>1419</v>
      </c>
      <c r="D103" t="s">
        <v>1411</v>
      </c>
      <c r="E103" t="s">
        <v>1412</v>
      </c>
      <c r="F103" s="1">
        <v>45338</v>
      </c>
      <c r="G103" t="s">
        <v>1413</v>
      </c>
    </row>
    <row r="104" spans="1:7">
      <c r="A104" t="str">
        <f>"078273000"</f>
        <v>078273000</v>
      </c>
      <c r="B104" t="s">
        <v>652</v>
      </c>
      <c r="C104" t="s">
        <v>1419</v>
      </c>
      <c r="D104" t="s">
        <v>1411</v>
      </c>
      <c r="E104" t="s">
        <v>1412</v>
      </c>
      <c r="F104" s="1">
        <v>45338</v>
      </c>
      <c r="G104" t="s">
        <v>1413</v>
      </c>
    </row>
    <row r="105" spans="1:7">
      <c r="A105" t="str">
        <f>"078272000"</f>
        <v>078272000</v>
      </c>
      <c r="B105" t="s">
        <v>652</v>
      </c>
      <c r="C105" t="s">
        <v>1419</v>
      </c>
      <c r="D105" t="s">
        <v>1411</v>
      </c>
      <c r="E105" t="s">
        <v>1412</v>
      </c>
      <c r="F105" s="1">
        <v>45338</v>
      </c>
      <c r="G105" t="s">
        <v>1413</v>
      </c>
    </row>
    <row r="106" spans="1:7">
      <c r="A106" t="str">
        <f>"078575000"</f>
        <v>078575000</v>
      </c>
      <c r="B106" t="s">
        <v>652</v>
      </c>
      <c r="C106" t="s">
        <v>1419</v>
      </c>
      <c r="D106" t="s">
        <v>1411</v>
      </c>
      <c r="E106" t="s">
        <v>1412</v>
      </c>
      <c r="F106" s="1">
        <v>45338</v>
      </c>
      <c r="G106" t="s">
        <v>1413</v>
      </c>
    </row>
    <row r="107" spans="1:7">
      <c r="A107" t="str">
        <f>"078418000"</f>
        <v>078418000</v>
      </c>
      <c r="B107" t="s">
        <v>652</v>
      </c>
      <c r="C107" t="s">
        <v>1419</v>
      </c>
      <c r="D107" t="s">
        <v>1411</v>
      </c>
      <c r="E107" t="s">
        <v>1412</v>
      </c>
      <c r="F107" s="1">
        <v>45338</v>
      </c>
      <c r="G107" t="s">
        <v>1413</v>
      </c>
    </row>
    <row r="108" spans="1:7">
      <c r="A108" t="str">
        <f>"078236000"</f>
        <v>078236000</v>
      </c>
      <c r="B108" t="s">
        <v>652</v>
      </c>
      <c r="C108" t="s">
        <v>1419</v>
      </c>
      <c r="D108" t="s">
        <v>1411</v>
      </c>
      <c r="E108" t="s">
        <v>1412</v>
      </c>
      <c r="F108" s="1">
        <v>45338</v>
      </c>
      <c r="G108" t="s">
        <v>1413</v>
      </c>
    </row>
    <row r="109" spans="1:7">
      <c r="A109" t="str">
        <f>"078283000"</f>
        <v>078283000</v>
      </c>
      <c r="B109" t="s">
        <v>652</v>
      </c>
      <c r="C109" t="s">
        <v>1419</v>
      </c>
      <c r="D109" t="s">
        <v>1411</v>
      </c>
      <c r="E109" t="s">
        <v>1412</v>
      </c>
      <c r="F109" s="1">
        <v>45338</v>
      </c>
      <c r="G109" t="s">
        <v>1413</v>
      </c>
    </row>
    <row r="110" spans="1:7">
      <c r="A110" t="str">
        <f>"078268000"</f>
        <v>078268000</v>
      </c>
      <c r="B110" t="s">
        <v>652</v>
      </c>
      <c r="C110" t="s">
        <v>1419</v>
      </c>
      <c r="D110" t="s">
        <v>1411</v>
      </c>
      <c r="E110" t="s">
        <v>1412</v>
      </c>
      <c r="F110" s="1">
        <v>45338</v>
      </c>
      <c r="G110" t="s">
        <v>1413</v>
      </c>
    </row>
    <row r="111" spans="1:7">
      <c r="A111" t="str">
        <f>"078212000"</f>
        <v>078212000</v>
      </c>
      <c r="B111" t="s">
        <v>652</v>
      </c>
      <c r="C111" t="s">
        <v>1419</v>
      </c>
      <c r="D111" t="s">
        <v>1411</v>
      </c>
      <c r="E111" t="s">
        <v>1412</v>
      </c>
      <c r="F111" s="1">
        <v>45336</v>
      </c>
      <c r="G111" t="s">
        <v>1413</v>
      </c>
    </row>
    <row r="112" spans="1:7">
      <c r="A112" t="str">
        <f>"038707000"</f>
        <v>038707000</v>
      </c>
      <c r="B112" t="s">
        <v>652</v>
      </c>
      <c r="C112" t="s">
        <v>1430</v>
      </c>
      <c r="D112" t="s">
        <v>1411</v>
      </c>
      <c r="E112" t="s">
        <v>1412</v>
      </c>
      <c r="F112" s="1">
        <v>45336</v>
      </c>
      <c r="G112" t="s">
        <v>1413</v>
      </c>
    </row>
    <row r="113" spans="1:7">
      <c r="A113" t="str">
        <f>"108737000"</f>
        <v>108737000</v>
      </c>
      <c r="B113" t="s">
        <v>652</v>
      </c>
      <c r="C113" t="s">
        <v>1414</v>
      </c>
      <c r="D113" t="s">
        <v>1411</v>
      </c>
      <c r="E113" t="s">
        <v>1412</v>
      </c>
      <c r="F113" s="1">
        <v>45341</v>
      </c>
      <c r="G113" t="s">
        <v>1413</v>
      </c>
    </row>
    <row r="114" spans="1:7">
      <c r="A114" t="str">
        <f>"108725000"</f>
        <v>108725000</v>
      </c>
      <c r="B114" t="s">
        <v>652</v>
      </c>
      <c r="C114" t="s">
        <v>1414</v>
      </c>
      <c r="D114" t="s">
        <v>1411</v>
      </c>
      <c r="E114" t="s">
        <v>1412</v>
      </c>
      <c r="F114" s="1">
        <v>45339</v>
      </c>
      <c r="G114" t="s">
        <v>1413</v>
      </c>
    </row>
    <row r="115" spans="1:7">
      <c r="A115" t="str">
        <f>"078225000"</f>
        <v>078225000</v>
      </c>
      <c r="B115" t="s">
        <v>652</v>
      </c>
      <c r="C115" t="s">
        <v>1419</v>
      </c>
      <c r="D115" t="s">
        <v>1411</v>
      </c>
      <c r="E115" t="s">
        <v>1412</v>
      </c>
      <c r="F115" s="1">
        <v>45336</v>
      </c>
      <c r="G115" t="s">
        <v>1413</v>
      </c>
    </row>
    <row r="116" spans="1:7">
      <c r="A116" t="str">
        <f>"078403000"</f>
        <v>078403000</v>
      </c>
      <c r="B116" t="s">
        <v>652</v>
      </c>
      <c r="C116" t="s">
        <v>1419</v>
      </c>
      <c r="D116" t="s">
        <v>1411</v>
      </c>
      <c r="E116" t="s">
        <v>1412</v>
      </c>
      <c r="F116" s="1">
        <v>45338</v>
      </c>
      <c r="G116" t="s">
        <v>1413</v>
      </c>
    </row>
    <row r="117" spans="1:7">
      <c r="A117" t="str">
        <f>"130326000"</f>
        <v>130326000</v>
      </c>
      <c r="B117" t="s">
        <v>660</v>
      </c>
      <c r="C117" t="s">
        <v>1420</v>
      </c>
      <c r="D117" t="s">
        <v>1411</v>
      </c>
      <c r="E117" t="s">
        <v>1412</v>
      </c>
      <c r="F117" s="1">
        <v>45357</v>
      </c>
      <c r="G117" t="s">
        <v>1413</v>
      </c>
    </row>
    <row r="118" spans="1:7">
      <c r="A118" t="str">
        <f>"078972000"</f>
        <v>078972000</v>
      </c>
      <c r="B118" t="s">
        <v>661</v>
      </c>
      <c r="C118" t="s">
        <v>1419</v>
      </c>
      <c r="D118" t="s">
        <v>1411</v>
      </c>
      <c r="E118" t="s">
        <v>1412</v>
      </c>
      <c r="F118" s="1">
        <v>45348</v>
      </c>
      <c r="G118" t="s">
        <v>1413</v>
      </c>
    </row>
    <row r="119" spans="1:7">
      <c r="A119" t="str">
        <f>"078766000"</f>
        <v>078766000</v>
      </c>
      <c r="B119" t="s">
        <v>662</v>
      </c>
      <c r="C119" t="s">
        <v>1419</v>
      </c>
      <c r="D119" t="s">
        <v>1411</v>
      </c>
      <c r="E119" t="s">
        <v>1412</v>
      </c>
      <c r="F119" s="1">
        <v>45341</v>
      </c>
      <c r="G119" t="s">
        <v>1413</v>
      </c>
    </row>
    <row r="120" spans="1:7">
      <c r="A120" t="str">
        <f>"078754000"</f>
        <v>078754000</v>
      </c>
      <c r="B120" t="s">
        <v>663</v>
      </c>
      <c r="C120" t="s">
        <v>1419</v>
      </c>
      <c r="D120" t="s">
        <v>1411</v>
      </c>
      <c r="E120" t="s">
        <v>1415</v>
      </c>
      <c r="F120" s="1">
        <v>45355</v>
      </c>
      <c r="G120" t="s">
        <v>1413</v>
      </c>
    </row>
    <row r="121" spans="1:7">
      <c r="A121" t="str">
        <f>"020209000"</f>
        <v>020209000</v>
      </c>
      <c r="B121" t="s">
        <v>664</v>
      </c>
      <c r="C121" t="s">
        <v>1428</v>
      </c>
      <c r="D121" t="s">
        <v>1411</v>
      </c>
      <c r="E121" t="s">
        <v>1412</v>
      </c>
      <c r="F121" s="1">
        <v>45341</v>
      </c>
      <c r="G121" t="s">
        <v>1413</v>
      </c>
    </row>
    <row r="122" spans="1:7">
      <c r="A122" t="str">
        <f>"150576000"</f>
        <v>150576000</v>
      </c>
      <c r="B122" t="s">
        <v>666</v>
      </c>
      <c r="C122" t="s">
        <v>1431</v>
      </c>
      <c r="D122" t="s">
        <v>1411</v>
      </c>
      <c r="E122" t="s">
        <v>1415</v>
      </c>
      <c r="F122" s="1">
        <v>45357</v>
      </c>
      <c r="G122" t="s">
        <v>1413</v>
      </c>
    </row>
    <row r="123" spans="1:7">
      <c r="A123" t="str">
        <f>"020202000"</f>
        <v>020202000</v>
      </c>
      <c r="B123" t="s">
        <v>667</v>
      </c>
      <c r="C123" t="s">
        <v>1428</v>
      </c>
      <c r="D123" t="s">
        <v>1411</v>
      </c>
      <c r="E123" t="s">
        <v>1417</v>
      </c>
      <c r="F123" s="1">
        <v>45286</v>
      </c>
      <c r="G123" t="s">
        <v>1413</v>
      </c>
    </row>
    <row r="124" spans="1:7">
      <c r="A124" t="str">
        <f>"108501000"</f>
        <v>108501000</v>
      </c>
      <c r="B124" t="s">
        <v>669</v>
      </c>
      <c r="C124" t="s">
        <v>1414</v>
      </c>
      <c r="D124" t="s">
        <v>1411</v>
      </c>
      <c r="E124" t="s">
        <v>1412</v>
      </c>
      <c r="F124" s="1">
        <v>45357</v>
      </c>
      <c r="G124" t="s">
        <v>1413</v>
      </c>
    </row>
    <row r="125" spans="1:7">
      <c r="A125" t="str">
        <f>"090232000"</f>
        <v>090232000</v>
      </c>
      <c r="B125" t="s">
        <v>670</v>
      </c>
      <c r="C125" t="s">
        <v>1432</v>
      </c>
      <c r="D125" t="s">
        <v>1411</v>
      </c>
      <c r="E125" t="s">
        <v>1412</v>
      </c>
      <c r="F125" s="1">
        <v>45353</v>
      </c>
      <c r="G125" t="s">
        <v>1413</v>
      </c>
    </row>
    <row r="126" spans="1:7">
      <c r="A126" t="str">
        <f>"078745000"</f>
        <v>078745000</v>
      </c>
      <c r="B126" t="s">
        <v>672</v>
      </c>
      <c r="C126" t="s">
        <v>1419</v>
      </c>
      <c r="D126" t="s">
        <v>1411</v>
      </c>
      <c r="E126" t="s">
        <v>1417</v>
      </c>
      <c r="F126" s="1">
        <v>45335</v>
      </c>
      <c r="G126" t="s">
        <v>1413</v>
      </c>
    </row>
    <row r="127" spans="1:7">
      <c r="A127" t="str">
        <f>"050316000"</f>
        <v>050316000</v>
      </c>
      <c r="B127" t="s">
        <v>673</v>
      </c>
      <c r="C127" t="s">
        <v>1433</v>
      </c>
      <c r="D127" t="s">
        <v>1411</v>
      </c>
      <c r="E127" t="s">
        <v>1412</v>
      </c>
      <c r="F127" s="1">
        <v>45341</v>
      </c>
      <c r="G127" t="s">
        <v>1413</v>
      </c>
    </row>
    <row r="128" spans="1:7">
      <c r="A128" t="str">
        <f>"150426000"</f>
        <v>150426000</v>
      </c>
      <c r="B128" t="s">
        <v>674</v>
      </c>
      <c r="C128" t="s">
        <v>1431</v>
      </c>
      <c r="D128" t="s">
        <v>1411</v>
      </c>
      <c r="E128" t="s">
        <v>1415</v>
      </c>
      <c r="F128" s="1">
        <v>45357</v>
      </c>
      <c r="G128" t="s">
        <v>1413</v>
      </c>
    </row>
    <row r="129" spans="1:7">
      <c r="A129" t="str">
        <f>"020214000"</f>
        <v>020214000</v>
      </c>
      <c r="B129" t="s">
        <v>675</v>
      </c>
      <c r="C129" t="s">
        <v>1428</v>
      </c>
      <c r="D129" t="s">
        <v>1411</v>
      </c>
      <c r="E129" t="s">
        <v>1412</v>
      </c>
      <c r="F129" s="1">
        <v>45340</v>
      </c>
      <c r="G129" t="s">
        <v>1413</v>
      </c>
    </row>
    <row r="130" spans="1:7">
      <c r="A130" t="str">
        <f>"070433000"</f>
        <v>070433000</v>
      </c>
      <c r="B130" t="s">
        <v>676</v>
      </c>
      <c r="C130" t="s">
        <v>1419</v>
      </c>
      <c r="D130" t="s">
        <v>1411</v>
      </c>
      <c r="E130" t="s">
        <v>1417</v>
      </c>
      <c r="F130" s="1">
        <v>45300</v>
      </c>
      <c r="G130" t="s">
        <v>1413</v>
      </c>
    </row>
    <row r="131" spans="1:7">
      <c r="A131" t="str">
        <f>"070501000"</f>
        <v>070501000</v>
      </c>
      <c r="B131" t="s">
        <v>678</v>
      </c>
      <c r="C131" t="s">
        <v>1419</v>
      </c>
      <c r="D131" t="s">
        <v>1411</v>
      </c>
      <c r="E131" t="s">
        <v>1412</v>
      </c>
      <c r="F131" s="1">
        <v>45341</v>
      </c>
      <c r="G131" t="s">
        <v>1413</v>
      </c>
    </row>
    <row r="132" spans="1:7">
      <c r="A132" t="str">
        <f>"080415000"</f>
        <v>080415000</v>
      </c>
      <c r="B132" t="s">
        <v>679</v>
      </c>
      <c r="C132" t="s">
        <v>1416</v>
      </c>
      <c r="D132" t="s">
        <v>1411</v>
      </c>
      <c r="E132" t="s">
        <v>1417</v>
      </c>
      <c r="F132" s="1">
        <v>45313</v>
      </c>
      <c r="G132" t="s">
        <v>1413</v>
      </c>
    </row>
    <row r="133" spans="1:7">
      <c r="A133" t="str">
        <f>"078564000"</f>
        <v>078564000</v>
      </c>
      <c r="B133" t="s">
        <v>680</v>
      </c>
      <c r="C133" t="s">
        <v>1419</v>
      </c>
      <c r="D133" t="s">
        <v>1411</v>
      </c>
      <c r="E133" t="s">
        <v>1417</v>
      </c>
      <c r="F133" s="1">
        <v>45335</v>
      </c>
      <c r="G133" t="s">
        <v>1413</v>
      </c>
    </row>
    <row r="134" spans="1:7">
      <c r="A134" t="str">
        <f>"098749000"</f>
        <v>098749000</v>
      </c>
      <c r="B134" t="s">
        <v>681</v>
      </c>
      <c r="C134" t="s">
        <v>1419</v>
      </c>
      <c r="D134" t="s">
        <v>1411</v>
      </c>
      <c r="E134" t="s">
        <v>1417</v>
      </c>
      <c r="F134" s="1">
        <v>45335</v>
      </c>
      <c r="G134" t="s">
        <v>1413</v>
      </c>
    </row>
    <row r="135" spans="1:7">
      <c r="A135" t="str">
        <f>"078909000"</f>
        <v>078909000</v>
      </c>
      <c r="B135" t="s">
        <v>682</v>
      </c>
      <c r="C135" t="s">
        <v>1419</v>
      </c>
      <c r="D135" t="s">
        <v>1411</v>
      </c>
      <c r="E135" t="s">
        <v>1417</v>
      </c>
      <c r="F135" s="1">
        <v>45335</v>
      </c>
      <c r="G135" t="s">
        <v>1413</v>
      </c>
    </row>
    <row r="136" spans="1:7">
      <c r="A136" t="str">
        <f>"078768000"</f>
        <v>078768000</v>
      </c>
      <c r="B136" t="s">
        <v>683</v>
      </c>
      <c r="C136" t="s">
        <v>1419</v>
      </c>
      <c r="D136" t="s">
        <v>1411</v>
      </c>
      <c r="E136" t="s">
        <v>1412</v>
      </c>
      <c r="F136" s="1">
        <v>45341</v>
      </c>
      <c r="G136" t="s">
        <v>1413</v>
      </c>
    </row>
    <row r="137" spans="1:7">
      <c r="A137" t="str">
        <f>"078959000"</f>
        <v>078959000</v>
      </c>
      <c r="B137" t="s">
        <v>684</v>
      </c>
      <c r="C137" t="s">
        <v>1419</v>
      </c>
      <c r="D137" t="s">
        <v>1411</v>
      </c>
      <c r="E137" t="s">
        <v>1417</v>
      </c>
      <c r="F137" s="1">
        <v>45335</v>
      </c>
      <c r="G137" t="s">
        <v>1413</v>
      </c>
    </row>
    <row r="138" spans="1:7">
      <c r="A138" t="str">
        <f>"130228000"</f>
        <v>130228000</v>
      </c>
      <c r="B138" t="s">
        <v>685</v>
      </c>
      <c r="C138" t="s">
        <v>1420</v>
      </c>
      <c r="D138" t="s">
        <v>1411</v>
      </c>
      <c r="E138" t="s">
        <v>1412</v>
      </c>
      <c r="F138" s="1">
        <v>45357</v>
      </c>
      <c r="G138" t="s">
        <v>1413</v>
      </c>
    </row>
    <row r="139" spans="1:7">
      <c r="A139" t="str">
        <f>"078639000"</f>
        <v>078639000</v>
      </c>
      <c r="B139" t="s">
        <v>686</v>
      </c>
      <c r="C139" t="s">
        <v>1419</v>
      </c>
      <c r="D139" t="s">
        <v>1411</v>
      </c>
      <c r="E139" t="s">
        <v>1417</v>
      </c>
      <c r="F139" s="1">
        <v>45335</v>
      </c>
      <c r="G139" t="s">
        <v>1413</v>
      </c>
    </row>
    <row r="140" spans="1:7">
      <c r="A140" t="str">
        <f>"078534000"</f>
        <v>078534000</v>
      </c>
      <c r="B140" t="s">
        <v>686</v>
      </c>
      <c r="C140" t="s">
        <v>1419</v>
      </c>
      <c r="D140" t="s">
        <v>1411</v>
      </c>
      <c r="E140" t="s">
        <v>1417</v>
      </c>
      <c r="F140" s="1">
        <v>45335</v>
      </c>
      <c r="G140" t="s">
        <v>1413</v>
      </c>
    </row>
    <row r="141" spans="1:7">
      <c r="A141" t="str">
        <f>"130350000"</f>
        <v>130350000</v>
      </c>
      <c r="B141" t="s">
        <v>687</v>
      </c>
      <c r="C141" t="s">
        <v>1420</v>
      </c>
      <c r="D141" t="s">
        <v>1411</v>
      </c>
      <c r="E141" t="s">
        <v>1412</v>
      </c>
      <c r="F141" s="1">
        <v>45357</v>
      </c>
      <c r="G141" t="s">
        <v>1413</v>
      </c>
    </row>
    <row r="142" spans="1:7">
      <c r="A142" t="str">
        <f>"108777000"</f>
        <v>108777000</v>
      </c>
      <c r="B142" t="s">
        <v>688</v>
      </c>
      <c r="C142" t="s">
        <v>1414</v>
      </c>
      <c r="D142" t="s">
        <v>1411</v>
      </c>
      <c r="E142" t="s">
        <v>1412</v>
      </c>
      <c r="F142" s="1">
        <v>45232</v>
      </c>
      <c r="G142" t="s">
        <v>1423</v>
      </c>
    </row>
    <row r="143" spans="1:7">
      <c r="A143" t="str">
        <f>"098745000"</f>
        <v>098745000</v>
      </c>
      <c r="B143" t="s">
        <v>690</v>
      </c>
      <c r="C143" t="s">
        <v>1432</v>
      </c>
      <c r="D143" t="s">
        <v>1411</v>
      </c>
      <c r="E143" t="s">
        <v>1412</v>
      </c>
      <c r="F143" s="1">
        <v>45341</v>
      </c>
      <c r="G143" t="s">
        <v>1413</v>
      </c>
    </row>
    <row r="144" spans="1:7">
      <c r="A144" t="str">
        <f>"078524000"</f>
        <v>078524000</v>
      </c>
      <c r="B144" t="s">
        <v>691</v>
      </c>
      <c r="C144" t="s">
        <v>1419</v>
      </c>
      <c r="D144" t="s">
        <v>1411</v>
      </c>
      <c r="E144" t="s">
        <v>1422</v>
      </c>
      <c r="F144" s="1">
        <v>45358</v>
      </c>
      <c r="G144" t="s">
        <v>1413</v>
      </c>
    </row>
    <row r="145" spans="1:7">
      <c r="A145" t="str">
        <f>"148761000"</f>
        <v>148761000</v>
      </c>
      <c r="B145" t="s">
        <v>693</v>
      </c>
      <c r="C145" t="s">
        <v>1425</v>
      </c>
      <c r="D145" t="s">
        <v>1411</v>
      </c>
      <c r="E145" t="s">
        <v>1417</v>
      </c>
      <c r="F145" s="1">
        <v>45335</v>
      </c>
      <c r="G145" t="s">
        <v>1413</v>
      </c>
    </row>
    <row r="146" spans="1:7">
      <c r="A146" t="str">
        <f>"070483000"</f>
        <v>070483000</v>
      </c>
      <c r="B146" t="s">
        <v>694</v>
      </c>
      <c r="C146" t="s">
        <v>1419</v>
      </c>
      <c r="D146" t="s">
        <v>1411</v>
      </c>
      <c r="E146" t="s">
        <v>1412</v>
      </c>
      <c r="F146" s="1">
        <v>45357</v>
      </c>
      <c r="G146" t="s">
        <v>1413</v>
      </c>
    </row>
    <row r="147" spans="1:7">
      <c r="A147" t="str">
        <f>"078218000"</f>
        <v>078218000</v>
      </c>
      <c r="B147" t="s">
        <v>695</v>
      </c>
      <c r="C147" t="s">
        <v>1419</v>
      </c>
      <c r="D147" t="s">
        <v>1411</v>
      </c>
      <c r="E147" t="s">
        <v>1412</v>
      </c>
      <c r="F147" s="1">
        <v>45341</v>
      </c>
      <c r="G147" t="s">
        <v>1413</v>
      </c>
    </row>
    <row r="148" spans="1:7">
      <c r="A148" t="str">
        <f>"110404000"</f>
        <v>110404000</v>
      </c>
      <c r="B148" t="s">
        <v>696</v>
      </c>
      <c r="C148" t="s">
        <v>1410</v>
      </c>
      <c r="D148" t="s">
        <v>1411</v>
      </c>
      <c r="E148" t="s">
        <v>1412</v>
      </c>
      <c r="F148" s="1">
        <v>45349</v>
      </c>
      <c r="G148" t="s">
        <v>1413</v>
      </c>
    </row>
    <row r="149" spans="1:7">
      <c r="A149" t="str">
        <f>"110502000"</f>
        <v>110502000</v>
      </c>
      <c r="B149" t="s">
        <v>698</v>
      </c>
      <c r="C149" t="s">
        <v>1410</v>
      </c>
      <c r="D149" t="s">
        <v>1411</v>
      </c>
      <c r="E149" t="s">
        <v>1417</v>
      </c>
      <c r="F149" s="1">
        <v>45268</v>
      </c>
      <c r="G149" t="s">
        <v>1413</v>
      </c>
    </row>
    <row r="150" spans="1:7">
      <c r="A150" t="str">
        <f>"100216000"</f>
        <v>100216000</v>
      </c>
      <c r="B150" t="s">
        <v>699</v>
      </c>
      <c r="C150" t="s">
        <v>1414</v>
      </c>
      <c r="D150" t="s">
        <v>1411</v>
      </c>
      <c r="E150" t="s">
        <v>1412</v>
      </c>
      <c r="F150" s="1">
        <v>45356</v>
      </c>
      <c r="G150" t="s">
        <v>1413</v>
      </c>
    </row>
    <row r="151" spans="1:7">
      <c r="A151" t="str">
        <f>"078991000"</f>
        <v>078991000</v>
      </c>
      <c r="B151" t="s">
        <v>700</v>
      </c>
      <c r="C151" t="s">
        <v>1419</v>
      </c>
      <c r="D151" t="s">
        <v>1411</v>
      </c>
      <c r="E151" t="s">
        <v>1415</v>
      </c>
      <c r="F151" s="1">
        <v>45126</v>
      </c>
      <c r="G151" t="s">
        <v>1423</v>
      </c>
    </row>
    <row r="152" spans="1:7">
      <c r="A152" t="str">
        <f>"070293000"</f>
        <v>070293000</v>
      </c>
      <c r="B152" t="s">
        <v>701</v>
      </c>
      <c r="C152" t="s">
        <v>1419</v>
      </c>
      <c r="D152" t="s">
        <v>1411</v>
      </c>
      <c r="E152" t="s">
        <v>1415</v>
      </c>
      <c r="F152" s="1">
        <v>45355</v>
      </c>
      <c r="G152" t="s">
        <v>1413</v>
      </c>
    </row>
    <row r="153" spans="1:7">
      <c r="A153" t="str">
        <f>"090225000"</f>
        <v>090225000</v>
      </c>
      <c r="B153" t="s">
        <v>702</v>
      </c>
      <c r="C153" t="s">
        <v>1432</v>
      </c>
      <c r="D153" t="s">
        <v>1411</v>
      </c>
      <c r="E153" t="s">
        <v>1417</v>
      </c>
      <c r="F153" s="1">
        <v>45301</v>
      </c>
      <c r="G153" t="s">
        <v>1413</v>
      </c>
    </row>
    <row r="154" spans="1:7">
      <c r="A154" t="str">
        <f>"028750000"</f>
        <v>028750000</v>
      </c>
      <c r="B154" t="s">
        <v>703</v>
      </c>
      <c r="C154" t="s">
        <v>1428</v>
      </c>
      <c r="D154" t="s">
        <v>1411</v>
      </c>
      <c r="E154" t="s">
        <v>1412</v>
      </c>
      <c r="F154" s="1">
        <v>45349</v>
      </c>
      <c r="G154" t="s">
        <v>1413</v>
      </c>
    </row>
    <row r="155" spans="1:7">
      <c r="A155" t="str">
        <f>"078772000"</f>
        <v>078772000</v>
      </c>
      <c r="B155" t="s">
        <v>704</v>
      </c>
      <c r="C155" t="s">
        <v>1419</v>
      </c>
      <c r="D155" t="s">
        <v>1411</v>
      </c>
      <c r="E155" t="s">
        <v>1417</v>
      </c>
      <c r="F155" s="1">
        <v>45335</v>
      </c>
      <c r="G155" t="s">
        <v>1413</v>
      </c>
    </row>
    <row r="156" spans="1:7">
      <c r="A156" t="str">
        <f>"078957000"</f>
        <v>078957000</v>
      </c>
      <c r="B156" t="s">
        <v>705</v>
      </c>
      <c r="C156" t="s">
        <v>1419</v>
      </c>
      <c r="D156" t="s">
        <v>1411</v>
      </c>
      <c r="E156" t="s">
        <v>1417</v>
      </c>
      <c r="F156" s="1">
        <v>45197</v>
      </c>
      <c r="G156" t="s">
        <v>1413</v>
      </c>
    </row>
    <row r="157" spans="1:7">
      <c r="A157" t="str">
        <f>"078515000"</f>
        <v>078515000</v>
      </c>
      <c r="B157" t="s">
        <v>707</v>
      </c>
      <c r="C157" t="s">
        <v>1419</v>
      </c>
      <c r="D157" t="s">
        <v>1411</v>
      </c>
      <c r="E157" t="s">
        <v>1426</v>
      </c>
      <c r="F157" s="1">
        <v>45355</v>
      </c>
      <c r="G157" t="s">
        <v>1413</v>
      </c>
    </row>
    <row r="158" spans="1:7">
      <c r="A158" t="str">
        <f>"070280000"</f>
        <v>070280000</v>
      </c>
      <c r="B158" t="s">
        <v>708</v>
      </c>
      <c r="C158" t="s">
        <v>1419</v>
      </c>
      <c r="D158" t="s">
        <v>1411</v>
      </c>
      <c r="E158" t="s">
        <v>1415</v>
      </c>
      <c r="F158" s="1">
        <v>45357</v>
      </c>
      <c r="G158" t="s">
        <v>1413</v>
      </c>
    </row>
    <row r="159" spans="1:7">
      <c r="A159" t="str">
        <f>"010224000"</f>
        <v>010224000</v>
      </c>
      <c r="B159" t="s">
        <v>709</v>
      </c>
      <c r="C159" t="s">
        <v>1424</v>
      </c>
      <c r="D159" t="s">
        <v>1411</v>
      </c>
      <c r="E159" t="s">
        <v>1422</v>
      </c>
      <c r="F159" s="1">
        <v>45358</v>
      </c>
      <c r="G159" t="s">
        <v>1413</v>
      </c>
    </row>
    <row r="160" spans="1:7">
      <c r="A160" t="str">
        <f>"130251000"</f>
        <v>130251000</v>
      </c>
      <c r="B160" t="s">
        <v>710</v>
      </c>
      <c r="C160" t="s">
        <v>1420</v>
      </c>
      <c r="D160" t="s">
        <v>1411</v>
      </c>
      <c r="E160" t="s">
        <v>1412</v>
      </c>
      <c r="F160" s="1">
        <v>45357</v>
      </c>
      <c r="G160" t="s">
        <v>1413</v>
      </c>
    </row>
    <row r="161" spans="1:7">
      <c r="A161" t="str">
        <f>"078549000"</f>
        <v>078549000</v>
      </c>
      <c r="B161" t="s">
        <v>711</v>
      </c>
      <c r="C161" t="s">
        <v>1419</v>
      </c>
      <c r="D161" t="s">
        <v>1411</v>
      </c>
      <c r="E161" t="s">
        <v>1417</v>
      </c>
      <c r="F161" s="1">
        <v>45259</v>
      </c>
      <c r="G161" t="s">
        <v>1413</v>
      </c>
    </row>
    <row r="162" spans="1:7">
      <c r="A162" t="str">
        <f>"078995000"</f>
        <v>078995000</v>
      </c>
      <c r="B162" t="s">
        <v>712</v>
      </c>
      <c r="C162" t="s">
        <v>1419</v>
      </c>
      <c r="D162" t="s">
        <v>1411</v>
      </c>
      <c r="E162" t="s">
        <v>1415</v>
      </c>
      <c r="F162" s="1">
        <v>45356</v>
      </c>
      <c r="G162" t="s">
        <v>1413</v>
      </c>
    </row>
    <row r="163" spans="1:7">
      <c r="A163" t="str">
        <f>"078249000"</f>
        <v>078249000</v>
      </c>
      <c r="B163" t="s">
        <v>714</v>
      </c>
      <c r="C163" t="s">
        <v>1419</v>
      </c>
      <c r="D163" t="s">
        <v>1411</v>
      </c>
      <c r="E163" t="s">
        <v>1426</v>
      </c>
      <c r="F163" s="1">
        <v>45355</v>
      </c>
      <c r="G163" t="s">
        <v>1413</v>
      </c>
    </row>
    <row r="164" spans="1:7">
      <c r="A164" t="str">
        <f>"108720000"</f>
        <v>108720000</v>
      </c>
      <c r="B164" t="s">
        <v>716</v>
      </c>
      <c r="C164" t="s">
        <v>1414</v>
      </c>
      <c r="D164" t="s">
        <v>1411</v>
      </c>
      <c r="E164" t="s">
        <v>1417</v>
      </c>
      <c r="F164" s="1">
        <v>45335</v>
      </c>
      <c r="G164" t="s">
        <v>1413</v>
      </c>
    </row>
    <row r="165" spans="1:7">
      <c r="A165" t="str">
        <f>"130403000"</f>
        <v>130403000</v>
      </c>
      <c r="B165" t="s">
        <v>717</v>
      </c>
      <c r="C165" t="s">
        <v>1420</v>
      </c>
      <c r="D165" t="s">
        <v>1411</v>
      </c>
      <c r="E165" t="s">
        <v>1412</v>
      </c>
      <c r="F165" s="1">
        <v>45341</v>
      </c>
      <c r="G165" t="s">
        <v>1413</v>
      </c>
    </row>
    <row r="166" spans="1:7">
      <c r="A166" t="str">
        <f>"028701000"</f>
        <v>028701000</v>
      </c>
      <c r="B166" t="s">
        <v>718</v>
      </c>
      <c r="C166" t="s">
        <v>1428</v>
      </c>
      <c r="D166" t="s">
        <v>1411</v>
      </c>
      <c r="E166" t="s">
        <v>1412</v>
      </c>
      <c r="F166" s="1">
        <v>45356</v>
      </c>
      <c r="G166" t="s">
        <v>1413</v>
      </c>
    </row>
    <row r="167" spans="1:7">
      <c r="A167" t="str">
        <f>"020101000"</f>
        <v>020101000</v>
      </c>
      <c r="B167" t="s">
        <v>720</v>
      </c>
      <c r="C167" t="s">
        <v>1428</v>
      </c>
      <c r="D167" t="s">
        <v>1411</v>
      </c>
      <c r="E167" t="s">
        <v>1417</v>
      </c>
      <c r="F167" s="1">
        <v>45267</v>
      </c>
      <c r="G167" t="s">
        <v>1413</v>
      </c>
    </row>
    <row r="168" spans="1:7">
      <c r="A168" t="str">
        <f>"026002000"</f>
        <v>026002000</v>
      </c>
      <c r="B168" t="s">
        <v>722</v>
      </c>
      <c r="C168" t="s">
        <v>1428</v>
      </c>
      <c r="D168" t="s">
        <v>1411</v>
      </c>
      <c r="E168" t="s">
        <v>1417</v>
      </c>
      <c r="F168" s="1">
        <v>45258</v>
      </c>
      <c r="G168" t="s">
        <v>1413</v>
      </c>
    </row>
    <row r="169" spans="1:7">
      <c r="A169" t="str">
        <f>"020326000"</f>
        <v>020326000</v>
      </c>
      <c r="B169" t="s">
        <v>723</v>
      </c>
      <c r="C169" t="s">
        <v>1428</v>
      </c>
      <c r="D169" t="s">
        <v>1411</v>
      </c>
      <c r="E169" t="s">
        <v>1412</v>
      </c>
      <c r="F169" s="1">
        <v>45338</v>
      </c>
      <c r="G169" t="s">
        <v>1413</v>
      </c>
    </row>
    <row r="170" spans="1:7">
      <c r="A170" t="str">
        <f>"030199000"</f>
        <v>030199000</v>
      </c>
      <c r="B170" t="s">
        <v>725</v>
      </c>
      <c r="C170" t="s">
        <v>1430</v>
      </c>
      <c r="D170" t="s">
        <v>1411</v>
      </c>
      <c r="E170" t="s">
        <v>1417</v>
      </c>
      <c r="F170" s="1">
        <v>45239</v>
      </c>
      <c r="G170" t="s">
        <v>1413</v>
      </c>
    </row>
    <row r="171" spans="1:7">
      <c r="A171" t="str">
        <f>"108740000"</f>
        <v>108740000</v>
      </c>
      <c r="B171" t="s">
        <v>726</v>
      </c>
      <c r="C171" t="s">
        <v>1414</v>
      </c>
      <c r="D171" t="s">
        <v>1411</v>
      </c>
      <c r="E171" t="s">
        <v>1412</v>
      </c>
      <c r="F171" s="1">
        <v>45349</v>
      </c>
      <c r="G171" t="s">
        <v>1423</v>
      </c>
    </row>
    <row r="172" spans="1:7">
      <c r="A172" t="str">
        <f>"080214000"</f>
        <v>080214000</v>
      </c>
      <c r="B172" t="s">
        <v>727</v>
      </c>
      <c r="C172" t="s">
        <v>1416</v>
      </c>
      <c r="D172" t="s">
        <v>1411</v>
      </c>
      <c r="E172" t="s">
        <v>1417</v>
      </c>
      <c r="F172" s="1">
        <v>45198</v>
      </c>
      <c r="G172" t="s">
        <v>1413</v>
      </c>
    </row>
    <row r="173" spans="1:7">
      <c r="A173" t="str">
        <f>"080502000"</f>
        <v>080502000</v>
      </c>
      <c r="B173" t="s">
        <v>729</v>
      </c>
      <c r="C173" t="s">
        <v>1416</v>
      </c>
      <c r="D173" t="s">
        <v>1411</v>
      </c>
      <c r="E173" t="s">
        <v>1422</v>
      </c>
      <c r="F173" s="1">
        <v>45358</v>
      </c>
      <c r="G173" t="s">
        <v>1413</v>
      </c>
    </row>
    <row r="174" spans="1:7">
      <c r="A174" t="str">
        <f>"108788000"</f>
        <v>108788000</v>
      </c>
      <c r="B174" t="s">
        <v>731</v>
      </c>
      <c r="C174" t="s">
        <v>1414</v>
      </c>
      <c r="D174" t="s">
        <v>1411</v>
      </c>
      <c r="E174" t="s">
        <v>1417</v>
      </c>
      <c r="F174" s="1">
        <v>45286</v>
      </c>
      <c r="G174" t="s">
        <v>1413</v>
      </c>
    </row>
    <row r="175" spans="1:7">
      <c r="A175" t="str">
        <f>"138501000"</f>
        <v>138501000</v>
      </c>
      <c r="B175" t="s">
        <v>733</v>
      </c>
      <c r="C175" t="s">
        <v>1420</v>
      </c>
      <c r="D175" t="s">
        <v>1411</v>
      </c>
      <c r="E175" t="s">
        <v>1417</v>
      </c>
      <c r="F175" s="1">
        <v>45244</v>
      </c>
      <c r="G175" t="s">
        <v>1413</v>
      </c>
    </row>
    <row r="176" spans="1:7">
      <c r="A176" t="str">
        <f>"010306000"</f>
        <v>010306000</v>
      </c>
      <c r="B176" t="s">
        <v>734</v>
      </c>
      <c r="C176" t="s">
        <v>1424</v>
      </c>
      <c r="D176" t="s">
        <v>1411</v>
      </c>
      <c r="E176" t="s">
        <v>1417</v>
      </c>
      <c r="F176" s="1">
        <v>45335</v>
      </c>
      <c r="G176" t="s">
        <v>1413</v>
      </c>
    </row>
    <row r="177" spans="1:7">
      <c r="A177" t="str">
        <f>"078530000"</f>
        <v>078530000</v>
      </c>
      <c r="B177" t="s">
        <v>735</v>
      </c>
      <c r="C177" t="s">
        <v>1419</v>
      </c>
      <c r="D177" t="s">
        <v>1411</v>
      </c>
      <c r="E177" t="s">
        <v>1412</v>
      </c>
      <c r="F177" s="1">
        <v>45352</v>
      </c>
      <c r="G177" t="s">
        <v>1413</v>
      </c>
    </row>
    <row r="178" spans="1:7">
      <c r="A178" t="str">
        <f>"130317000"</f>
        <v>130317000</v>
      </c>
      <c r="B178" t="s">
        <v>736</v>
      </c>
      <c r="C178" t="s">
        <v>1420</v>
      </c>
      <c r="D178" t="s">
        <v>1411</v>
      </c>
      <c r="E178" t="s">
        <v>1417</v>
      </c>
      <c r="F178" s="1">
        <v>45335</v>
      </c>
      <c r="G178" t="s">
        <v>1413</v>
      </c>
    </row>
    <row r="179" spans="1:7">
      <c r="A179" t="str">
        <f>"100339000"</f>
        <v>100339000</v>
      </c>
      <c r="B179" t="s">
        <v>737</v>
      </c>
      <c r="C179" t="s">
        <v>1414</v>
      </c>
      <c r="D179" t="s">
        <v>1411</v>
      </c>
      <c r="E179" t="s">
        <v>1417</v>
      </c>
      <c r="F179" s="1">
        <v>45335</v>
      </c>
      <c r="G179" t="s">
        <v>1413</v>
      </c>
    </row>
    <row r="180" spans="1:7">
      <c r="A180" t="str">
        <f>"110221000"</f>
        <v>110221000</v>
      </c>
      <c r="B180" t="s">
        <v>738</v>
      </c>
      <c r="C180" t="s">
        <v>1410</v>
      </c>
      <c r="D180" t="s">
        <v>1411</v>
      </c>
      <c r="E180" t="s">
        <v>1412</v>
      </c>
      <c r="F180" s="1">
        <v>45344</v>
      </c>
      <c r="G180" t="s">
        <v>1413</v>
      </c>
    </row>
    <row r="181" spans="1:7">
      <c r="A181" t="str">
        <f>"078643000"</f>
        <v>078643000</v>
      </c>
      <c r="B181" t="s">
        <v>740</v>
      </c>
      <c r="C181" t="s">
        <v>1419</v>
      </c>
      <c r="D181" t="s">
        <v>1411</v>
      </c>
      <c r="E181" t="s">
        <v>1418</v>
      </c>
      <c r="F181" s="1">
        <v>45144</v>
      </c>
      <c r="G181" t="s">
        <v>1423</v>
      </c>
    </row>
    <row r="182" spans="1:7">
      <c r="A182" t="str">
        <f>"078994000"</f>
        <v>078994000</v>
      </c>
      <c r="B182" t="s">
        <v>742</v>
      </c>
      <c r="C182" t="s">
        <v>1419</v>
      </c>
      <c r="D182" t="s">
        <v>1411</v>
      </c>
      <c r="E182" t="s">
        <v>1412</v>
      </c>
      <c r="F182" s="1">
        <v>45336</v>
      </c>
      <c r="G182" t="s">
        <v>1413</v>
      </c>
    </row>
    <row r="183" spans="1:7">
      <c r="A183" t="str">
        <f>"078975000"</f>
        <v>078975000</v>
      </c>
      <c r="B183" t="s">
        <v>744</v>
      </c>
      <c r="C183" t="s">
        <v>1419</v>
      </c>
      <c r="D183" t="s">
        <v>1411</v>
      </c>
      <c r="E183" t="s">
        <v>1412</v>
      </c>
      <c r="F183" s="1">
        <v>45344</v>
      </c>
      <c r="G183" t="s">
        <v>1413</v>
      </c>
    </row>
    <row r="184" spans="1:7">
      <c r="A184" t="str">
        <f>"130406000"</f>
        <v>130406000</v>
      </c>
      <c r="B184" t="s">
        <v>745</v>
      </c>
      <c r="C184" t="s">
        <v>1420</v>
      </c>
      <c r="D184" t="s">
        <v>1411</v>
      </c>
      <c r="E184" t="s">
        <v>1412</v>
      </c>
      <c r="F184" s="1">
        <v>45357</v>
      </c>
      <c r="G184" t="s">
        <v>1413</v>
      </c>
    </row>
    <row r="185" spans="1:7">
      <c r="A185" t="str">
        <f>"078513000"</f>
        <v>078513000</v>
      </c>
      <c r="B185" t="s">
        <v>746</v>
      </c>
      <c r="C185" t="s">
        <v>1419</v>
      </c>
      <c r="D185" t="s">
        <v>1411</v>
      </c>
      <c r="E185" t="s">
        <v>1415</v>
      </c>
      <c r="F185" s="1">
        <v>45355</v>
      </c>
      <c r="G185" t="s">
        <v>1413</v>
      </c>
    </row>
    <row r="186" spans="1:7">
      <c r="A186" t="str">
        <f>"108505000"</f>
        <v>108505000</v>
      </c>
      <c r="B186" t="s">
        <v>748</v>
      </c>
      <c r="C186" t="s">
        <v>1414</v>
      </c>
      <c r="D186" t="s">
        <v>1411</v>
      </c>
      <c r="E186" t="s">
        <v>1417</v>
      </c>
      <c r="F186" s="1">
        <v>45335</v>
      </c>
      <c r="G186" t="s">
        <v>1413</v>
      </c>
    </row>
    <row r="187" spans="1:7">
      <c r="A187" t="str">
        <f>"108793000"</f>
        <v>108793000</v>
      </c>
      <c r="B187" t="s">
        <v>750</v>
      </c>
      <c r="C187" t="s">
        <v>1414</v>
      </c>
      <c r="D187" t="s">
        <v>1411</v>
      </c>
      <c r="E187" t="s">
        <v>1417</v>
      </c>
      <c r="F187" s="1">
        <v>45335</v>
      </c>
      <c r="G187" t="s">
        <v>1413</v>
      </c>
    </row>
    <row r="188" spans="1:7">
      <c r="A188" t="str">
        <f>"078608000"</f>
        <v>078608000</v>
      </c>
      <c r="B188" t="s">
        <v>752</v>
      </c>
      <c r="C188" t="s">
        <v>1419</v>
      </c>
      <c r="D188" t="s">
        <v>1411</v>
      </c>
      <c r="E188" t="s">
        <v>1417</v>
      </c>
      <c r="F188" s="1">
        <v>45335</v>
      </c>
      <c r="G188" t="s">
        <v>1413</v>
      </c>
    </row>
    <row r="189" spans="1:7">
      <c r="A189" t="str">
        <f>"140413000"</f>
        <v>140413000</v>
      </c>
      <c r="B189" t="s">
        <v>753</v>
      </c>
      <c r="C189" t="s">
        <v>1425</v>
      </c>
      <c r="D189" t="s">
        <v>1411</v>
      </c>
      <c r="E189" t="s">
        <v>1417</v>
      </c>
      <c r="F189" s="1">
        <v>45335</v>
      </c>
      <c r="G189" t="s">
        <v>1413</v>
      </c>
    </row>
    <row r="190" spans="1:7">
      <c r="A190" t="str">
        <f>"070414000"</f>
        <v>070414000</v>
      </c>
      <c r="B190" t="s">
        <v>754</v>
      </c>
      <c r="C190" t="s">
        <v>1419</v>
      </c>
      <c r="D190" t="s">
        <v>1411</v>
      </c>
      <c r="E190" t="s">
        <v>1417</v>
      </c>
      <c r="F190" s="1">
        <v>45282</v>
      </c>
      <c r="G190" t="s">
        <v>1413</v>
      </c>
    </row>
    <row r="191" spans="1:7">
      <c r="A191" t="str">
        <f>"078921000"</f>
        <v>078921000</v>
      </c>
      <c r="B191" t="s">
        <v>755</v>
      </c>
      <c r="C191" t="s">
        <v>1419</v>
      </c>
      <c r="D191" t="s">
        <v>1411</v>
      </c>
      <c r="E191" t="s">
        <v>1415</v>
      </c>
      <c r="F191" s="1">
        <v>45356</v>
      </c>
      <c r="G191" t="s">
        <v>1413</v>
      </c>
    </row>
    <row r="192" spans="1:7">
      <c r="A192" t="str">
        <f>"130341000"</f>
        <v>130341000</v>
      </c>
      <c r="B192" t="s">
        <v>757</v>
      </c>
      <c r="C192" t="s">
        <v>1420</v>
      </c>
      <c r="D192" t="s">
        <v>1411</v>
      </c>
      <c r="E192" t="s">
        <v>1412</v>
      </c>
      <c r="F192" s="1">
        <v>45356</v>
      </c>
      <c r="G192" t="s">
        <v>1413</v>
      </c>
    </row>
    <row r="193" spans="1:7">
      <c r="A193" t="str">
        <f>"078544000"</f>
        <v>078544000</v>
      </c>
      <c r="B193" t="s">
        <v>758</v>
      </c>
      <c r="C193" t="s">
        <v>1419</v>
      </c>
      <c r="D193" t="s">
        <v>1411</v>
      </c>
      <c r="E193" t="s">
        <v>1412</v>
      </c>
      <c r="F193" s="1">
        <v>45341</v>
      </c>
      <c r="G193" t="s">
        <v>1413</v>
      </c>
    </row>
    <row r="194" spans="1:7">
      <c r="A194" t="str">
        <f>"108502000"</f>
        <v>108502000</v>
      </c>
      <c r="B194" t="s">
        <v>759</v>
      </c>
      <c r="C194" t="s">
        <v>1414</v>
      </c>
      <c r="D194" t="s">
        <v>1411</v>
      </c>
      <c r="E194" t="s">
        <v>1412</v>
      </c>
      <c r="F194" s="1">
        <v>45341</v>
      </c>
      <c r="G194" t="s">
        <v>1413</v>
      </c>
    </row>
    <row r="195" spans="1:7">
      <c r="A195" t="str">
        <f>"108503000"</f>
        <v>108503000</v>
      </c>
      <c r="B195" t="s">
        <v>760</v>
      </c>
      <c r="C195" t="s">
        <v>1414</v>
      </c>
      <c r="D195" t="s">
        <v>1411</v>
      </c>
      <c r="E195" t="s">
        <v>1412</v>
      </c>
      <c r="F195" s="1">
        <v>45352</v>
      </c>
      <c r="G195" t="s">
        <v>1413</v>
      </c>
    </row>
    <row r="196" spans="1:7">
      <c r="A196" t="str">
        <f>"108666000"</f>
        <v>108666000</v>
      </c>
      <c r="B196" t="s">
        <v>761</v>
      </c>
      <c r="C196" t="s">
        <v>1414</v>
      </c>
      <c r="D196" t="s">
        <v>1411</v>
      </c>
      <c r="E196" t="s">
        <v>1412</v>
      </c>
      <c r="F196" s="1">
        <v>45341</v>
      </c>
      <c r="G196" t="s">
        <v>1413</v>
      </c>
    </row>
    <row r="197" spans="1:7">
      <c r="A197" t="str">
        <f>"108504000"</f>
        <v>108504000</v>
      </c>
      <c r="B197" t="s">
        <v>763</v>
      </c>
      <c r="C197" t="s">
        <v>1414</v>
      </c>
      <c r="D197" t="s">
        <v>1411</v>
      </c>
      <c r="E197" t="s">
        <v>1412</v>
      </c>
      <c r="F197" s="1">
        <v>45341</v>
      </c>
      <c r="G197" t="s">
        <v>1413</v>
      </c>
    </row>
    <row r="198" spans="1:7">
      <c r="A198" t="str">
        <f>"078577000"</f>
        <v>078577000</v>
      </c>
      <c r="B198" t="s">
        <v>764</v>
      </c>
      <c r="C198" t="s">
        <v>1419</v>
      </c>
      <c r="D198" t="s">
        <v>1411</v>
      </c>
      <c r="E198" t="s">
        <v>1412</v>
      </c>
      <c r="F198" s="1">
        <v>45341</v>
      </c>
      <c r="G198" t="s">
        <v>1413</v>
      </c>
    </row>
    <row r="199" spans="1:7">
      <c r="A199" t="str">
        <f>"078934000"</f>
        <v>078934000</v>
      </c>
      <c r="B199" t="s">
        <v>766</v>
      </c>
      <c r="C199" t="s">
        <v>1419</v>
      </c>
      <c r="D199" t="s">
        <v>1411</v>
      </c>
      <c r="E199" t="s">
        <v>1417</v>
      </c>
      <c r="F199" s="1">
        <v>45335</v>
      </c>
      <c r="G199" t="s">
        <v>1413</v>
      </c>
    </row>
    <row r="200" spans="1:7">
      <c r="A200" t="str">
        <f>"070297000"</f>
        <v>070297000</v>
      </c>
      <c r="B200" t="s">
        <v>767</v>
      </c>
      <c r="C200" t="s">
        <v>1419</v>
      </c>
      <c r="D200" t="s">
        <v>1411</v>
      </c>
      <c r="E200" t="s">
        <v>1426</v>
      </c>
      <c r="F200" s="1">
        <v>45349</v>
      </c>
      <c r="G200" t="s">
        <v>1413</v>
      </c>
    </row>
    <row r="201" spans="1:7">
      <c r="A201" t="str">
        <f>"078621000"</f>
        <v>078621000</v>
      </c>
      <c r="B201" t="s">
        <v>768</v>
      </c>
      <c r="C201" t="s">
        <v>1419</v>
      </c>
      <c r="D201" t="s">
        <v>1411</v>
      </c>
      <c r="E201" t="s">
        <v>1417</v>
      </c>
      <c r="F201" s="1">
        <v>45239</v>
      </c>
      <c r="G201" t="s">
        <v>1413</v>
      </c>
    </row>
    <row r="202" spans="1:7">
      <c r="A202" t="str">
        <f>"108668000"</f>
        <v>108668000</v>
      </c>
      <c r="B202" t="s">
        <v>770</v>
      </c>
      <c r="C202" t="s">
        <v>1414</v>
      </c>
      <c r="D202" t="s">
        <v>1411</v>
      </c>
      <c r="E202" t="s">
        <v>1417</v>
      </c>
      <c r="F202" s="1">
        <v>45335</v>
      </c>
      <c r="G202" t="s">
        <v>1413</v>
      </c>
    </row>
    <row r="203" spans="1:7">
      <c r="A203" t="str">
        <f>"108732000"</f>
        <v>108732000</v>
      </c>
      <c r="B203" t="s">
        <v>771</v>
      </c>
      <c r="C203" t="s">
        <v>1414</v>
      </c>
      <c r="D203" t="s">
        <v>1411</v>
      </c>
      <c r="E203" t="s">
        <v>1417</v>
      </c>
      <c r="F203" s="1">
        <v>45335</v>
      </c>
      <c r="G203" t="s">
        <v>1413</v>
      </c>
    </row>
    <row r="204" spans="1:7">
      <c r="A204" t="str">
        <f>"088705000"</f>
        <v>088705000</v>
      </c>
      <c r="B204" t="s">
        <v>772</v>
      </c>
      <c r="C204" t="s">
        <v>1416</v>
      </c>
      <c r="D204" t="s">
        <v>1411</v>
      </c>
      <c r="E204" t="s">
        <v>1412</v>
      </c>
      <c r="F204" s="1">
        <v>45357</v>
      </c>
      <c r="G204" t="s">
        <v>1413</v>
      </c>
    </row>
    <row r="205" spans="1:7">
      <c r="A205" t="str">
        <f>"138714000"</f>
        <v>138714000</v>
      </c>
      <c r="B205" t="s">
        <v>773</v>
      </c>
      <c r="C205" t="s">
        <v>1420</v>
      </c>
      <c r="D205" t="s">
        <v>1411</v>
      </c>
      <c r="E205" t="s">
        <v>1417</v>
      </c>
      <c r="F205" s="1">
        <v>45300</v>
      </c>
      <c r="G205" t="s">
        <v>1413</v>
      </c>
    </row>
    <row r="206" spans="1:7">
      <c r="A206" t="str">
        <f>"048701000"</f>
        <v>048701000</v>
      </c>
      <c r="B206" t="s">
        <v>774</v>
      </c>
      <c r="C206" t="s">
        <v>1434</v>
      </c>
      <c r="D206" t="s">
        <v>1411</v>
      </c>
      <c r="E206" t="s">
        <v>1415</v>
      </c>
      <c r="F206" s="1">
        <v>45358</v>
      </c>
      <c r="G206" t="s">
        <v>1413</v>
      </c>
    </row>
    <row r="207" spans="1:7">
      <c r="A207" t="str">
        <f>"058703000"</f>
        <v>058703000</v>
      </c>
      <c r="B207" t="s">
        <v>775</v>
      </c>
      <c r="C207" t="s">
        <v>1433</v>
      </c>
      <c r="D207" t="s">
        <v>1411</v>
      </c>
      <c r="E207" t="s">
        <v>1412</v>
      </c>
      <c r="F207" s="1">
        <v>45340</v>
      </c>
      <c r="G207" t="s">
        <v>1413</v>
      </c>
    </row>
    <row r="208" spans="1:7">
      <c r="A208" t="str">
        <f>"020345000"</f>
        <v>020345000</v>
      </c>
      <c r="B208" t="s">
        <v>776</v>
      </c>
      <c r="C208" t="s">
        <v>1428</v>
      </c>
      <c r="D208" t="s">
        <v>1411</v>
      </c>
      <c r="E208" t="s">
        <v>1417</v>
      </c>
      <c r="F208" s="1">
        <v>45335</v>
      </c>
      <c r="G208" t="s">
        <v>1413</v>
      </c>
    </row>
    <row r="209" spans="1:7">
      <c r="A209" t="str">
        <f>"020227000"</f>
        <v>020227000</v>
      </c>
      <c r="B209" t="s">
        <v>777</v>
      </c>
      <c r="C209" t="s">
        <v>1428</v>
      </c>
      <c r="D209" t="s">
        <v>1411</v>
      </c>
      <c r="E209" t="s">
        <v>1417</v>
      </c>
      <c r="F209" s="1">
        <v>45335</v>
      </c>
      <c r="G209" t="s">
        <v>1413</v>
      </c>
    </row>
    <row r="210" spans="1:7">
      <c r="A210" t="str">
        <f>"060202000"</f>
        <v>060202000</v>
      </c>
      <c r="B210" t="s">
        <v>778</v>
      </c>
      <c r="C210" t="s">
        <v>1435</v>
      </c>
      <c r="D210" t="s">
        <v>1411</v>
      </c>
      <c r="E210" t="s">
        <v>1417</v>
      </c>
      <c r="F210" s="1">
        <v>45247</v>
      </c>
      <c r="G210" t="s">
        <v>1413</v>
      </c>
    </row>
    <row r="211" spans="1:7">
      <c r="A211" t="str">
        <f>"070289000"</f>
        <v>070289000</v>
      </c>
      <c r="B211" t="s">
        <v>779</v>
      </c>
      <c r="C211" t="s">
        <v>1419</v>
      </c>
      <c r="D211" t="s">
        <v>1411</v>
      </c>
      <c r="E211" t="s">
        <v>1412</v>
      </c>
      <c r="F211" s="1">
        <v>45351</v>
      </c>
      <c r="G211" t="s">
        <v>1413</v>
      </c>
    </row>
    <row r="212" spans="1:7">
      <c r="A212" t="str">
        <f>"078202000"</f>
        <v>078202000</v>
      </c>
      <c r="B212" t="s">
        <v>780</v>
      </c>
      <c r="C212" t="s">
        <v>1419</v>
      </c>
      <c r="D212" t="s">
        <v>1411</v>
      </c>
      <c r="E212" t="s">
        <v>1412</v>
      </c>
      <c r="F212" s="1">
        <v>45112</v>
      </c>
      <c r="G212" t="s">
        <v>1423</v>
      </c>
    </row>
    <row r="213" spans="1:7">
      <c r="A213" t="str">
        <f>"078222000"</f>
        <v>078222000</v>
      </c>
      <c r="B213" t="s">
        <v>781</v>
      </c>
      <c r="C213" t="s">
        <v>1419</v>
      </c>
      <c r="D213" t="s">
        <v>1411</v>
      </c>
      <c r="E213" t="s">
        <v>1417</v>
      </c>
      <c r="F213" s="1">
        <v>45280</v>
      </c>
      <c r="G213" t="s">
        <v>1413</v>
      </c>
    </row>
    <row r="214" spans="1:7">
      <c r="A214" t="str">
        <f>"078223000"</f>
        <v>078223000</v>
      </c>
      <c r="B214" t="s">
        <v>782</v>
      </c>
      <c r="C214" t="s">
        <v>1419</v>
      </c>
      <c r="D214" t="s">
        <v>1411</v>
      </c>
      <c r="E214" t="s">
        <v>1422</v>
      </c>
      <c r="F214" s="1">
        <v>45359</v>
      </c>
      <c r="G214" t="s">
        <v>1413</v>
      </c>
    </row>
    <row r="215" spans="1:7">
      <c r="A215" t="str">
        <f>"078541000"</f>
        <v>078541000</v>
      </c>
      <c r="B215" t="s">
        <v>783</v>
      </c>
      <c r="C215" t="s">
        <v>1419</v>
      </c>
      <c r="D215" t="s">
        <v>1411</v>
      </c>
      <c r="E215" t="s">
        <v>1417</v>
      </c>
      <c r="F215" s="1">
        <v>45280</v>
      </c>
      <c r="G215" t="s">
        <v>1413</v>
      </c>
    </row>
    <row r="216" spans="1:7">
      <c r="A216" t="str">
        <f>"078509000"</f>
        <v>078509000</v>
      </c>
      <c r="B216" t="s">
        <v>784</v>
      </c>
      <c r="C216" t="s">
        <v>1419</v>
      </c>
      <c r="D216" t="s">
        <v>1411</v>
      </c>
      <c r="E216" t="s">
        <v>1412</v>
      </c>
      <c r="F216" s="1">
        <v>45340</v>
      </c>
      <c r="G216" t="s">
        <v>1413</v>
      </c>
    </row>
    <row r="217" spans="1:7">
      <c r="A217" t="str">
        <f>"108506000"</f>
        <v>108506000</v>
      </c>
      <c r="B217" t="s">
        <v>785</v>
      </c>
      <c r="C217" t="s">
        <v>1414</v>
      </c>
      <c r="D217" t="s">
        <v>1411</v>
      </c>
      <c r="E217" t="s">
        <v>1412</v>
      </c>
      <c r="F217" s="1">
        <v>45357</v>
      </c>
      <c r="G217" t="s">
        <v>1413</v>
      </c>
    </row>
    <row r="218" spans="1:7">
      <c r="A218" t="str">
        <f>"108653000"</f>
        <v>108653000</v>
      </c>
      <c r="B218" t="s">
        <v>787</v>
      </c>
      <c r="C218" t="s">
        <v>1414</v>
      </c>
      <c r="D218" t="s">
        <v>1411</v>
      </c>
      <c r="E218" t="s">
        <v>1412</v>
      </c>
      <c r="F218" s="1">
        <v>45351</v>
      </c>
      <c r="G218" t="s">
        <v>1413</v>
      </c>
    </row>
    <row r="219" spans="1:7">
      <c r="A219" t="str">
        <f>"078573000"</f>
        <v>078573000</v>
      </c>
      <c r="B219" t="s">
        <v>788</v>
      </c>
      <c r="C219" t="s">
        <v>1419</v>
      </c>
      <c r="D219" t="s">
        <v>1411</v>
      </c>
      <c r="E219" t="s">
        <v>1412</v>
      </c>
      <c r="F219" s="1">
        <v>45340</v>
      </c>
      <c r="G219" t="s">
        <v>1413</v>
      </c>
    </row>
    <row r="220" spans="1:7">
      <c r="A220" t="str">
        <f>"138754000"</f>
        <v>138754000</v>
      </c>
      <c r="B220" t="s">
        <v>789</v>
      </c>
      <c r="C220" t="s">
        <v>1420</v>
      </c>
      <c r="D220" t="s">
        <v>1411</v>
      </c>
      <c r="E220" t="s">
        <v>1415</v>
      </c>
      <c r="F220" s="1">
        <v>45355</v>
      </c>
      <c r="G220" t="s">
        <v>1413</v>
      </c>
    </row>
    <row r="221" spans="1:7">
      <c r="A221" t="str">
        <f>"078971000"</f>
        <v>078971000</v>
      </c>
      <c r="B221" t="s">
        <v>791</v>
      </c>
      <c r="C221" t="s">
        <v>1419</v>
      </c>
      <c r="D221" t="s">
        <v>1411</v>
      </c>
      <c r="E221" t="s">
        <v>1412</v>
      </c>
      <c r="F221" s="1">
        <v>45357</v>
      </c>
      <c r="G221" t="s">
        <v>1413</v>
      </c>
    </row>
    <row r="222" spans="1:7">
      <c r="A222" t="str">
        <f>"078742000"</f>
        <v>078742000</v>
      </c>
      <c r="B222" t="s">
        <v>792</v>
      </c>
      <c r="C222" t="s">
        <v>1419</v>
      </c>
      <c r="D222" t="s">
        <v>1411</v>
      </c>
      <c r="E222" t="s">
        <v>1415</v>
      </c>
      <c r="F222" s="1">
        <v>45355</v>
      </c>
      <c r="G222" t="s">
        <v>1413</v>
      </c>
    </row>
    <row r="223" spans="1:7">
      <c r="A223" t="str">
        <f>"078740000"</f>
        <v>078740000</v>
      </c>
      <c r="B223" t="s">
        <v>793</v>
      </c>
      <c r="C223" t="s">
        <v>1419</v>
      </c>
      <c r="D223" t="s">
        <v>1411</v>
      </c>
      <c r="E223" t="s">
        <v>1412</v>
      </c>
      <c r="F223" s="1">
        <v>45357</v>
      </c>
      <c r="G223" t="s">
        <v>1413</v>
      </c>
    </row>
    <row r="224" spans="1:7">
      <c r="A224" t="str">
        <f>"078915000"</f>
        <v>078915000</v>
      </c>
      <c r="B224" t="s">
        <v>794</v>
      </c>
      <c r="C224" t="s">
        <v>1419</v>
      </c>
      <c r="D224" t="s">
        <v>1411</v>
      </c>
      <c r="E224" t="s">
        <v>1415</v>
      </c>
      <c r="F224" s="1">
        <v>45355</v>
      </c>
      <c r="G224" t="s">
        <v>1413</v>
      </c>
    </row>
    <row r="225" spans="1:7">
      <c r="A225" t="str">
        <f>"078705000"</f>
        <v>078705000</v>
      </c>
      <c r="B225" t="s">
        <v>795</v>
      </c>
      <c r="C225" t="s">
        <v>1419</v>
      </c>
      <c r="D225" t="s">
        <v>1411</v>
      </c>
      <c r="E225" t="s">
        <v>1417</v>
      </c>
      <c r="F225" s="1">
        <v>45287</v>
      </c>
      <c r="G225" t="s">
        <v>1413</v>
      </c>
    </row>
    <row r="226" spans="1:7">
      <c r="A226" t="str">
        <f>"078246000"</f>
        <v>078246000</v>
      </c>
      <c r="B226" t="s">
        <v>796</v>
      </c>
      <c r="C226" t="s">
        <v>1419</v>
      </c>
      <c r="D226" t="s">
        <v>1411</v>
      </c>
      <c r="E226" t="s">
        <v>1418</v>
      </c>
      <c r="F226" s="1">
        <v>45350</v>
      </c>
      <c r="G226" t="s">
        <v>1413</v>
      </c>
    </row>
    <row r="227" spans="1:7">
      <c r="A227" t="str">
        <f>"138705000"</f>
        <v>138705000</v>
      </c>
      <c r="B227" t="s">
        <v>797</v>
      </c>
      <c r="C227" t="s">
        <v>1420</v>
      </c>
      <c r="D227" t="s">
        <v>1411</v>
      </c>
      <c r="E227" t="s">
        <v>1412</v>
      </c>
      <c r="F227" s="1">
        <v>45357</v>
      </c>
      <c r="G227" t="s">
        <v>1413</v>
      </c>
    </row>
    <row r="228" spans="1:7">
      <c r="A228" t="str">
        <f>"078744000"</f>
        <v>078744000</v>
      </c>
      <c r="B228" t="s">
        <v>798</v>
      </c>
      <c r="C228" t="s">
        <v>1419</v>
      </c>
      <c r="D228" t="s">
        <v>1411</v>
      </c>
      <c r="E228" t="s">
        <v>1426</v>
      </c>
      <c r="F228" s="1">
        <v>45356</v>
      </c>
      <c r="G228" t="s">
        <v>1413</v>
      </c>
    </row>
    <row r="229" spans="1:7">
      <c r="A229" t="str">
        <f>"078917000"</f>
        <v>078917000</v>
      </c>
      <c r="B229" t="s">
        <v>799</v>
      </c>
      <c r="C229" t="s">
        <v>1419</v>
      </c>
      <c r="D229" t="s">
        <v>1411</v>
      </c>
      <c r="E229" t="s">
        <v>1426</v>
      </c>
      <c r="F229" s="1">
        <v>45356</v>
      </c>
      <c r="G229" t="s">
        <v>1413</v>
      </c>
    </row>
    <row r="230" spans="1:7">
      <c r="A230" t="str">
        <f>"108717000"</f>
        <v>108717000</v>
      </c>
      <c r="B230" t="s">
        <v>800</v>
      </c>
      <c r="C230" t="s">
        <v>1414</v>
      </c>
      <c r="D230" t="s">
        <v>1411</v>
      </c>
      <c r="E230" t="s">
        <v>1412</v>
      </c>
      <c r="F230" s="1">
        <v>45119</v>
      </c>
      <c r="G230" t="s">
        <v>1423</v>
      </c>
    </row>
    <row r="231" spans="1:7">
      <c r="A231" t="str">
        <f>"078558000"</f>
        <v>078558000</v>
      </c>
      <c r="B231" t="s">
        <v>802</v>
      </c>
      <c r="C231" t="s">
        <v>1419</v>
      </c>
      <c r="D231" t="s">
        <v>1411</v>
      </c>
      <c r="E231" t="s">
        <v>1412</v>
      </c>
      <c r="F231" s="1">
        <v>45340</v>
      </c>
      <c r="G231" t="s">
        <v>1413</v>
      </c>
    </row>
    <row r="232" spans="1:7">
      <c r="A232" t="str">
        <f>"020412000"</f>
        <v>020412000</v>
      </c>
      <c r="B232" t="s">
        <v>803</v>
      </c>
      <c r="C232" t="s">
        <v>1428</v>
      </c>
      <c r="D232" t="s">
        <v>1411</v>
      </c>
      <c r="E232" t="s">
        <v>1418</v>
      </c>
      <c r="F232" s="1">
        <v>45280</v>
      </c>
      <c r="G232" t="s">
        <v>1413</v>
      </c>
    </row>
    <row r="233" spans="1:7">
      <c r="A233" t="str">
        <f>"110411000"</f>
        <v>110411000</v>
      </c>
      <c r="B233" t="s">
        <v>804</v>
      </c>
      <c r="C233" t="s">
        <v>1410</v>
      </c>
      <c r="D233" t="s">
        <v>1411</v>
      </c>
      <c r="E233" t="s">
        <v>1417</v>
      </c>
      <c r="F233" s="1">
        <v>45301</v>
      </c>
      <c r="G233" t="s">
        <v>1413</v>
      </c>
    </row>
    <row r="234" spans="1:7">
      <c r="A234" t="str">
        <f>"078401000"</f>
        <v>078401000</v>
      </c>
      <c r="B234" t="s">
        <v>805</v>
      </c>
      <c r="C234" t="s">
        <v>1419</v>
      </c>
      <c r="D234" t="s">
        <v>1411</v>
      </c>
      <c r="E234" t="s">
        <v>1418</v>
      </c>
      <c r="F234" s="1">
        <v>45336</v>
      </c>
      <c r="G234" t="s">
        <v>1413</v>
      </c>
    </row>
    <row r="235" spans="1:7">
      <c r="A235" t="str">
        <f>"078711000"</f>
        <v>078711000</v>
      </c>
      <c r="B235" t="s">
        <v>807</v>
      </c>
      <c r="C235" t="s">
        <v>1419</v>
      </c>
      <c r="D235" t="s">
        <v>1411</v>
      </c>
      <c r="E235" t="s">
        <v>1412</v>
      </c>
      <c r="F235" s="1">
        <v>45352</v>
      </c>
      <c r="G235" t="s">
        <v>1413</v>
      </c>
    </row>
    <row r="236" spans="1:7">
      <c r="A236" t="str">
        <f>"078103000"</f>
        <v>078103000</v>
      </c>
      <c r="B236" t="s">
        <v>807</v>
      </c>
      <c r="C236" t="s">
        <v>1419</v>
      </c>
      <c r="D236" t="s">
        <v>1411</v>
      </c>
      <c r="E236" t="s">
        <v>1412</v>
      </c>
      <c r="F236" s="1">
        <v>45352</v>
      </c>
      <c r="G236" t="s">
        <v>1413</v>
      </c>
    </row>
    <row r="237" spans="1:7">
      <c r="A237" t="str">
        <f>"078275000"</f>
        <v>078275000</v>
      </c>
      <c r="B237" t="s">
        <v>809</v>
      </c>
      <c r="C237" t="s">
        <v>1419</v>
      </c>
      <c r="D237" t="s">
        <v>1411</v>
      </c>
      <c r="E237" t="s">
        <v>1412</v>
      </c>
      <c r="F237" s="1">
        <v>45351</v>
      </c>
      <c r="G237" t="s">
        <v>1413</v>
      </c>
    </row>
    <row r="238" spans="1:7">
      <c r="A238" t="str">
        <f>"078239000"</f>
        <v>078239000</v>
      </c>
      <c r="B238" t="s">
        <v>811</v>
      </c>
      <c r="C238" t="s">
        <v>1419</v>
      </c>
      <c r="D238" t="s">
        <v>1411</v>
      </c>
      <c r="E238" t="s">
        <v>1412</v>
      </c>
      <c r="F238" s="1">
        <v>45352</v>
      </c>
      <c r="G238" t="s">
        <v>1413</v>
      </c>
    </row>
    <row r="239" spans="1:7">
      <c r="A239" t="str">
        <f>"078254000"</f>
        <v>078254000</v>
      </c>
      <c r="B239" t="s">
        <v>812</v>
      </c>
      <c r="C239" t="s">
        <v>1419</v>
      </c>
      <c r="D239" t="s">
        <v>1411</v>
      </c>
      <c r="E239" t="s">
        <v>1417</v>
      </c>
      <c r="F239" s="1">
        <v>45281</v>
      </c>
      <c r="G239" t="s">
        <v>1413</v>
      </c>
    </row>
    <row r="240" spans="1:7">
      <c r="A240" t="str">
        <f>"078901000"</f>
        <v>078901000</v>
      </c>
      <c r="B240" t="s">
        <v>813</v>
      </c>
      <c r="C240" t="s">
        <v>1419</v>
      </c>
      <c r="D240" t="s">
        <v>1411</v>
      </c>
      <c r="E240" t="s">
        <v>1426</v>
      </c>
      <c r="F240" s="1">
        <v>45337</v>
      </c>
      <c r="G240" t="s">
        <v>1413</v>
      </c>
    </row>
    <row r="241" spans="1:7">
      <c r="A241" t="str">
        <f>"078785000"</f>
        <v>078785000</v>
      </c>
      <c r="B241" t="s">
        <v>814</v>
      </c>
      <c r="C241" t="s">
        <v>1419</v>
      </c>
      <c r="D241" t="s">
        <v>1411</v>
      </c>
      <c r="E241" t="s">
        <v>1412</v>
      </c>
      <c r="F241" s="1">
        <v>45340</v>
      </c>
      <c r="G241" t="s">
        <v>1413</v>
      </c>
    </row>
    <row r="242" spans="1:7">
      <c r="A242" t="str">
        <f>"038750000"</f>
        <v>038750000</v>
      </c>
      <c r="B242" t="s">
        <v>816</v>
      </c>
      <c r="C242" t="s">
        <v>1430</v>
      </c>
      <c r="D242" t="s">
        <v>1411</v>
      </c>
      <c r="E242" t="s">
        <v>1412</v>
      </c>
      <c r="F242" s="1">
        <v>45357</v>
      </c>
      <c r="G242" t="s">
        <v>1413</v>
      </c>
    </row>
    <row r="243" spans="1:7">
      <c r="A243" t="str">
        <f>"038752000"</f>
        <v>038752000</v>
      </c>
      <c r="B243" t="s">
        <v>817</v>
      </c>
      <c r="C243" t="s">
        <v>1430</v>
      </c>
      <c r="D243" t="s">
        <v>1411</v>
      </c>
      <c r="E243" t="s">
        <v>1412</v>
      </c>
      <c r="F243" s="1">
        <v>45338</v>
      </c>
      <c r="G243" t="s">
        <v>1413</v>
      </c>
    </row>
    <row r="244" spans="1:7">
      <c r="A244" t="str">
        <f>"038705000"</f>
        <v>038705000</v>
      </c>
      <c r="B244" t="s">
        <v>818</v>
      </c>
      <c r="C244" t="s">
        <v>1430</v>
      </c>
      <c r="D244" t="s">
        <v>1411</v>
      </c>
      <c r="E244" t="s">
        <v>1412</v>
      </c>
      <c r="F244" s="1">
        <v>45351</v>
      </c>
      <c r="G244" t="s">
        <v>1413</v>
      </c>
    </row>
    <row r="245" spans="1:7">
      <c r="A245" t="str">
        <f>"030201000"</f>
        <v>030201000</v>
      </c>
      <c r="B245" t="s">
        <v>819</v>
      </c>
      <c r="C245" t="s">
        <v>1430</v>
      </c>
      <c r="D245" t="s">
        <v>1411</v>
      </c>
      <c r="E245" t="s">
        <v>1417</v>
      </c>
      <c r="F245" s="1">
        <v>45203</v>
      </c>
      <c r="G245" t="s">
        <v>1413</v>
      </c>
    </row>
    <row r="246" spans="1:7">
      <c r="A246" t="str">
        <f>"110201000"</f>
        <v>110201000</v>
      </c>
      <c r="B246" t="s">
        <v>820</v>
      </c>
      <c r="C246" t="s">
        <v>1410</v>
      </c>
      <c r="D246" t="s">
        <v>1411</v>
      </c>
      <c r="E246" t="s">
        <v>1418</v>
      </c>
      <c r="F246" s="1">
        <v>45344</v>
      </c>
      <c r="G246" t="s">
        <v>1413</v>
      </c>
    </row>
    <row r="247" spans="1:7">
      <c r="A247" t="str">
        <f>"100208000"</f>
        <v>100208000</v>
      </c>
      <c r="B247" t="s">
        <v>821</v>
      </c>
      <c r="C247" t="s">
        <v>1414</v>
      </c>
      <c r="D247" t="s">
        <v>1411</v>
      </c>
      <c r="E247" t="s">
        <v>1421</v>
      </c>
      <c r="F247" s="1">
        <v>45359</v>
      </c>
      <c r="G247" t="s">
        <v>1413</v>
      </c>
    </row>
    <row r="248" spans="1:7">
      <c r="A248" t="str">
        <f>"020100000"</f>
        <v>020100000</v>
      </c>
      <c r="B248" t="s">
        <v>822</v>
      </c>
      <c r="C248" t="s">
        <v>1428</v>
      </c>
      <c r="D248" t="s">
        <v>1411</v>
      </c>
      <c r="E248" t="s">
        <v>1412</v>
      </c>
      <c r="F248" s="1">
        <v>45336</v>
      </c>
      <c r="G248" t="s">
        <v>1413</v>
      </c>
    </row>
    <row r="249" spans="1:7">
      <c r="A249" t="str">
        <f>"050207000"</f>
        <v>050207000</v>
      </c>
      <c r="B249" t="s">
        <v>823</v>
      </c>
      <c r="C249" t="s">
        <v>1433</v>
      </c>
      <c r="D249" t="s">
        <v>1411</v>
      </c>
      <c r="E249" t="s">
        <v>1412</v>
      </c>
      <c r="F249" s="1">
        <v>45341</v>
      </c>
      <c r="G249" t="s">
        <v>1413</v>
      </c>
    </row>
    <row r="250" spans="1:7">
      <c r="A250" t="str">
        <f>"070298000"</f>
        <v>070298000</v>
      </c>
      <c r="B250" t="s">
        <v>824</v>
      </c>
      <c r="C250" t="s">
        <v>1419</v>
      </c>
      <c r="D250" t="s">
        <v>1411</v>
      </c>
      <c r="E250" t="s">
        <v>1417</v>
      </c>
      <c r="F250" s="1">
        <v>45289</v>
      </c>
      <c r="G250" t="s">
        <v>1413</v>
      </c>
    </row>
    <row r="251" spans="1:7">
      <c r="A251" t="str">
        <f>"070445000"</f>
        <v>070445000</v>
      </c>
      <c r="B251" t="s">
        <v>825</v>
      </c>
      <c r="C251" t="s">
        <v>1419</v>
      </c>
      <c r="D251" t="s">
        <v>1411</v>
      </c>
      <c r="E251" t="s">
        <v>1426</v>
      </c>
      <c r="F251" s="1">
        <v>45337</v>
      </c>
      <c r="G251" t="s">
        <v>1413</v>
      </c>
    </row>
    <row r="252" spans="1:7">
      <c r="A252" t="str">
        <f>"078263000"</f>
        <v>078263000</v>
      </c>
      <c r="B252" t="s">
        <v>826</v>
      </c>
      <c r="C252" t="s">
        <v>1419</v>
      </c>
      <c r="D252" t="s">
        <v>1411</v>
      </c>
      <c r="E252" t="s">
        <v>1412</v>
      </c>
      <c r="F252" s="1">
        <v>45338</v>
      </c>
      <c r="G252" t="s">
        <v>1413</v>
      </c>
    </row>
    <row r="253" spans="1:7">
      <c r="A253" t="str">
        <f>"138751000"</f>
        <v>138751000</v>
      </c>
      <c r="B253" t="s">
        <v>826</v>
      </c>
      <c r="C253" t="s">
        <v>1420</v>
      </c>
      <c r="D253" t="s">
        <v>1411</v>
      </c>
      <c r="E253" t="s">
        <v>1412</v>
      </c>
      <c r="F253" s="1">
        <v>45338</v>
      </c>
      <c r="G253" t="s">
        <v>1413</v>
      </c>
    </row>
    <row r="254" spans="1:7">
      <c r="A254" t="str">
        <f>"030206000"</f>
        <v>030206000</v>
      </c>
      <c r="B254" t="s">
        <v>827</v>
      </c>
      <c r="C254" t="s">
        <v>1430</v>
      </c>
      <c r="D254" t="s">
        <v>1411</v>
      </c>
      <c r="E254" t="s">
        <v>1417</v>
      </c>
      <c r="F254" s="1">
        <v>45302</v>
      </c>
      <c r="G254" t="s">
        <v>1413</v>
      </c>
    </row>
    <row r="255" spans="1:7">
      <c r="A255" t="str">
        <f>"078528000"</f>
        <v>078528000</v>
      </c>
      <c r="B255" t="s">
        <v>828</v>
      </c>
      <c r="C255" t="s">
        <v>1419</v>
      </c>
      <c r="D255" t="s">
        <v>1411</v>
      </c>
      <c r="E255" t="s">
        <v>1417</v>
      </c>
      <c r="F255" s="1">
        <v>45335</v>
      </c>
      <c r="G255" t="s">
        <v>1413</v>
      </c>
    </row>
    <row r="256" spans="1:7">
      <c r="A256" t="str">
        <f>"078638000"</f>
        <v>078638000</v>
      </c>
      <c r="B256" t="s">
        <v>830</v>
      </c>
      <c r="C256" t="s">
        <v>1419</v>
      </c>
      <c r="D256" t="s">
        <v>1411</v>
      </c>
      <c r="E256" t="s">
        <v>1412</v>
      </c>
      <c r="F256" s="1">
        <v>45349</v>
      </c>
      <c r="G256" t="s">
        <v>1413</v>
      </c>
    </row>
    <row r="257" spans="1:7">
      <c r="A257" t="str">
        <f>"078611000"</f>
        <v>078611000</v>
      </c>
      <c r="B257" t="s">
        <v>831</v>
      </c>
      <c r="C257" t="s">
        <v>1419</v>
      </c>
      <c r="D257" t="s">
        <v>1411</v>
      </c>
      <c r="E257" t="s">
        <v>1417</v>
      </c>
      <c r="F257" s="1">
        <v>45287</v>
      </c>
      <c r="G257" t="s">
        <v>1413</v>
      </c>
    </row>
    <row r="258" spans="1:7">
      <c r="A258" t="str">
        <f>"140432000"</f>
        <v>140432000</v>
      </c>
      <c r="B258" t="s">
        <v>832</v>
      </c>
      <c r="C258" t="s">
        <v>1425</v>
      </c>
      <c r="D258" t="s">
        <v>1411</v>
      </c>
      <c r="E258" t="s">
        <v>1422</v>
      </c>
      <c r="F258" s="1">
        <v>45359</v>
      </c>
      <c r="G258" t="s">
        <v>1413</v>
      </c>
    </row>
    <row r="259" spans="1:7">
      <c r="A259" t="str">
        <f>"010220000"</f>
        <v>010220000</v>
      </c>
      <c r="B259" t="s">
        <v>833</v>
      </c>
      <c r="C259" t="s">
        <v>1424</v>
      </c>
      <c r="D259" t="s">
        <v>1411</v>
      </c>
      <c r="E259" t="s">
        <v>1415</v>
      </c>
      <c r="F259" s="1">
        <v>45355</v>
      </c>
      <c r="G259" t="s">
        <v>1413</v>
      </c>
    </row>
    <row r="260" spans="1:7">
      <c r="A260" t="str">
        <f>"078774000"</f>
        <v>078774000</v>
      </c>
      <c r="B260" t="s">
        <v>834</v>
      </c>
      <c r="C260" t="s">
        <v>1419</v>
      </c>
      <c r="D260" t="s">
        <v>1411</v>
      </c>
      <c r="E260" t="s">
        <v>1412</v>
      </c>
      <c r="F260" s="1">
        <v>45245</v>
      </c>
      <c r="G260" t="s">
        <v>1423</v>
      </c>
    </row>
    <row r="261" spans="1:7">
      <c r="A261" t="str">
        <f>"078708000"</f>
        <v>078708000</v>
      </c>
      <c r="B261" t="s">
        <v>836</v>
      </c>
      <c r="C261" t="s">
        <v>1419</v>
      </c>
      <c r="D261" t="s">
        <v>1411</v>
      </c>
      <c r="E261" t="s">
        <v>1417</v>
      </c>
      <c r="F261" s="1">
        <v>45278</v>
      </c>
      <c r="G261" t="s">
        <v>1413</v>
      </c>
    </row>
    <row r="262" spans="1:7">
      <c r="A262" t="str">
        <f>"078585000"</f>
        <v>078585000</v>
      </c>
      <c r="B262" t="s">
        <v>837</v>
      </c>
      <c r="C262" t="s">
        <v>1419</v>
      </c>
      <c r="D262" t="s">
        <v>1411</v>
      </c>
      <c r="E262" t="s">
        <v>1417</v>
      </c>
      <c r="F262" s="1">
        <v>45265</v>
      </c>
      <c r="G262" t="s">
        <v>1413</v>
      </c>
    </row>
    <row r="263" spans="1:7">
      <c r="A263" t="str">
        <f>"070224000"</f>
        <v>070224000</v>
      </c>
      <c r="B263" t="s">
        <v>838</v>
      </c>
      <c r="C263" t="s">
        <v>1419</v>
      </c>
      <c r="D263" t="s">
        <v>1411</v>
      </c>
      <c r="E263" t="s">
        <v>1415</v>
      </c>
      <c r="F263" s="1">
        <v>45357</v>
      </c>
      <c r="G263" t="s">
        <v>1413</v>
      </c>
    </row>
    <row r="264" spans="1:7">
      <c r="A264" t="str">
        <f>"040149000"</f>
        <v>040149000</v>
      </c>
      <c r="B264" t="s">
        <v>840</v>
      </c>
      <c r="C264" t="s">
        <v>1434</v>
      </c>
      <c r="D264" t="s">
        <v>1411</v>
      </c>
      <c r="E264" t="s">
        <v>1412</v>
      </c>
      <c r="F264" s="1">
        <v>45357</v>
      </c>
      <c r="G264" t="s">
        <v>1413</v>
      </c>
    </row>
    <row r="265" spans="1:7">
      <c r="A265" t="str">
        <f>"046004000"</f>
        <v>046004000</v>
      </c>
      <c r="B265" t="s">
        <v>842</v>
      </c>
      <c r="C265" t="s">
        <v>1434</v>
      </c>
      <c r="D265" t="s">
        <v>1411</v>
      </c>
      <c r="E265" t="s">
        <v>1429</v>
      </c>
      <c r="F265" s="1">
        <v>45244</v>
      </c>
      <c r="G265" t="s">
        <v>1423</v>
      </c>
    </row>
    <row r="266" spans="1:7">
      <c r="A266" t="str">
        <f>"070241000"</f>
        <v>070241000</v>
      </c>
      <c r="B266" t="s">
        <v>843</v>
      </c>
      <c r="C266" t="s">
        <v>1419</v>
      </c>
      <c r="D266" t="s">
        <v>1411</v>
      </c>
      <c r="E266" t="s">
        <v>1415</v>
      </c>
      <c r="F266" s="1">
        <v>45355</v>
      </c>
      <c r="G266" t="s">
        <v>1413</v>
      </c>
    </row>
    <row r="267" spans="1:7">
      <c r="A267" t="str">
        <f>"038715000"</f>
        <v>038715000</v>
      </c>
      <c r="B267" t="s">
        <v>844</v>
      </c>
      <c r="C267" t="s">
        <v>1430</v>
      </c>
      <c r="D267" t="s">
        <v>1411</v>
      </c>
      <c r="E267" t="s">
        <v>1426</v>
      </c>
      <c r="F267" s="1">
        <v>45357</v>
      </c>
      <c r="G267" t="s">
        <v>1413</v>
      </c>
    </row>
    <row r="268" spans="1:7">
      <c r="A268" t="str">
        <f>"070440000"</f>
        <v>070440000</v>
      </c>
      <c r="B268" t="s">
        <v>845</v>
      </c>
      <c r="C268" t="s">
        <v>1419</v>
      </c>
      <c r="D268" t="s">
        <v>1411</v>
      </c>
      <c r="E268" t="s">
        <v>1412</v>
      </c>
      <c r="F268" s="1">
        <v>45349</v>
      </c>
      <c r="G268" t="s">
        <v>1413</v>
      </c>
    </row>
    <row r="269" spans="1:7">
      <c r="A269" t="str">
        <f>"078540000"</f>
        <v>078540000</v>
      </c>
      <c r="B269" t="s">
        <v>847</v>
      </c>
      <c r="C269" t="s">
        <v>1419</v>
      </c>
      <c r="D269" t="s">
        <v>1411</v>
      </c>
      <c r="E269" t="s">
        <v>1426</v>
      </c>
      <c r="F269" s="1">
        <v>45355</v>
      </c>
      <c r="G269" t="s">
        <v>1413</v>
      </c>
    </row>
    <row r="270" spans="1:7">
      <c r="A270" t="str">
        <f>"070505000"</f>
        <v>070505000</v>
      </c>
      <c r="B270" t="s">
        <v>848</v>
      </c>
      <c r="C270" t="s">
        <v>1419</v>
      </c>
      <c r="D270" t="s">
        <v>1411</v>
      </c>
      <c r="E270" t="s">
        <v>1412</v>
      </c>
      <c r="F270" s="1">
        <v>45357</v>
      </c>
      <c r="G270" t="s">
        <v>1413</v>
      </c>
    </row>
    <row r="271" spans="1:7">
      <c r="A271" t="str">
        <f>"040201000"</f>
        <v>040201000</v>
      </c>
      <c r="B271" t="s">
        <v>849</v>
      </c>
      <c r="C271" t="s">
        <v>1434</v>
      </c>
      <c r="D271" t="s">
        <v>1411</v>
      </c>
      <c r="E271" t="s">
        <v>1412</v>
      </c>
      <c r="F271" s="1">
        <v>45357</v>
      </c>
      <c r="G271" t="s">
        <v>1413</v>
      </c>
    </row>
    <row r="272" spans="1:7">
      <c r="A272" t="str">
        <f>"056005000"</f>
        <v>056005000</v>
      </c>
      <c r="B272" t="s">
        <v>851</v>
      </c>
      <c r="C272" t="s">
        <v>1433</v>
      </c>
      <c r="D272" t="s">
        <v>1411</v>
      </c>
      <c r="E272" t="s">
        <v>1412</v>
      </c>
      <c r="F272" s="1">
        <v>45063</v>
      </c>
      <c r="G272" t="s">
        <v>1423</v>
      </c>
    </row>
    <row r="273" spans="1:7">
      <c r="A273" t="str">
        <f>"030204000"</f>
        <v>030204000</v>
      </c>
      <c r="B273" t="s">
        <v>852</v>
      </c>
      <c r="C273" t="s">
        <v>1430</v>
      </c>
      <c r="D273" t="s">
        <v>1411</v>
      </c>
      <c r="E273" t="s">
        <v>1412</v>
      </c>
      <c r="F273" s="1">
        <v>45349</v>
      </c>
      <c r="G273" t="s">
        <v>1423</v>
      </c>
    </row>
    <row r="274" spans="1:7">
      <c r="A274" t="str">
        <f>"108770000"</f>
        <v>108770000</v>
      </c>
      <c r="B274" t="s">
        <v>853</v>
      </c>
      <c r="C274" t="s">
        <v>1414</v>
      </c>
      <c r="D274" t="s">
        <v>1411</v>
      </c>
      <c r="E274" t="s">
        <v>1417</v>
      </c>
      <c r="F274" s="1">
        <v>45335</v>
      </c>
      <c r="G274" t="s">
        <v>1413</v>
      </c>
    </row>
    <row r="275" spans="1:7">
      <c r="A275" t="str">
        <f>"108789000"</f>
        <v>108789000</v>
      </c>
      <c r="B275" t="s">
        <v>854</v>
      </c>
      <c r="C275" t="s">
        <v>1414</v>
      </c>
      <c r="D275" t="s">
        <v>1411</v>
      </c>
      <c r="E275" t="s">
        <v>1415</v>
      </c>
      <c r="F275" s="1">
        <v>45356</v>
      </c>
      <c r="G275" t="s">
        <v>1413</v>
      </c>
    </row>
    <row r="276" spans="1:7">
      <c r="A276" t="str">
        <f>"108726000"</f>
        <v>108726000</v>
      </c>
      <c r="B276" t="s">
        <v>856</v>
      </c>
      <c r="C276" t="s">
        <v>1414</v>
      </c>
      <c r="D276" t="s">
        <v>1411</v>
      </c>
      <c r="E276" t="s">
        <v>1417</v>
      </c>
      <c r="F276" s="1">
        <v>45335</v>
      </c>
      <c r="G276" t="s">
        <v>1413</v>
      </c>
    </row>
    <row r="277" spans="1:7">
      <c r="A277" t="str">
        <f>"080303000"</f>
        <v>080303000</v>
      </c>
      <c r="B277" t="s">
        <v>857</v>
      </c>
      <c r="C277" t="s">
        <v>1416</v>
      </c>
      <c r="D277" t="s">
        <v>1411</v>
      </c>
      <c r="E277" t="s">
        <v>1417</v>
      </c>
      <c r="F277" s="1">
        <v>45335</v>
      </c>
      <c r="G277" t="s">
        <v>1413</v>
      </c>
    </row>
    <row r="278" spans="1:7">
      <c r="A278" t="str">
        <f>"078594000"</f>
        <v>078594000</v>
      </c>
      <c r="B278" t="s">
        <v>858</v>
      </c>
      <c r="C278" t="s">
        <v>1419</v>
      </c>
      <c r="D278" t="s">
        <v>1411</v>
      </c>
      <c r="E278" t="s">
        <v>1412</v>
      </c>
      <c r="F278" s="1">
        <v>45355</v>
      </c>
      <c r="G278" t="s">
        <v>1413</v>
      </c>
    </row>
    <row r="279" spans="1:7">
      <c r="A279" t="str">
        <f>"078998000"</f>
        <v>078998000</v>
      </c>
      <c r="B279" t="s">
        <v>859</v>
      </c>
      <c r="C279" t="s">
        <v>1419</v>
      </c>
      <c r="D279" t="s">
        <v>1411</v>
      </c>
      <c r="E279" t="s">
        <v>1412</v>
      </c>
      <c r="F279" s="1">
        <v>45349</v>
      </c>
      <c r="G279" t="s">
        <v>1413</v>
      </c>
    </row>
    <row r="280" spans="1:7">
      <c r="A280" t="str">
        <f>"148760000"</f>
        <v>148760000</v>
      </c>
      <c r="B280" t="s">
        <v>860</v>
      </c>
      <c r="C280" t="s">
        <v>1425</v>
      </c>
      <c r="D280" t="s">
        <v>1411</v>
      </c>
      <c r="E280" t="s">
        <v>1412</v>
      </c>
      <c r="F280" s="1">
        <v>45339</v>
      </c>
      <c r="G280" t="s">
        <v>1413</v>
      </c>
    </row>
    <row r="281" spans="1:7">
      <c r="A281" t="str">
        <f>"038755000"</f>
        <v>038755000</v>
      </c>
      <c r="B281" t="s">
        <v>861</v>
      </c>
      <c r="C281" t="s">
        <v>1430</v>
      </c>
      <c r="D281" t="s">
        <v>1411</v>
      </c>
      <c r="E281" t="s">
        <v>1412</v>
      </c>
      <c r="F281" s="1">
        <v>45356</v>
      </c>
      <c r="G281" t="s">
        <v>1413</v>
      </c>
    </row>
    <row r="282" spans="1:7">
      <c r="A282" t="str">
        <f>"040241000"</f>
        <v>040241000</v>
      </c>
      <c r="B282" t="s">
        <v>862</v>
      </c>
      <c r="C282" t="s">
        <v>1434</v>
      </c>
      <c r="D282" t="s">
        <v>1411</v>
      </c>
      <c r="E282" t="s">
        <v>1415</v>
      </c>
      <c r="F282" s="1">
        <v>45357</v>
      </c>
      <c r="G282" t="s">
        <v>1413</v>
      </c>
    </row>
    <row r="283" spans="1:7">
      <c r="A283" t="str">
        <f>"078627000"</f>
        <v>078627000</v>
      </c>
      <c r="B283" t="s">
        <v>863</v>
      </c>
      <c r="C283" t="s">
        <v>1419</v>
      </c>
      <c r="D283" t="s">
        <v>1411</v>
      </c>
      <c r="E283" t="s">
        <v>1412</v>
      </c>
      <c r="F283" s="1">
        <v>45356</v>
      </c>
      <c r="G283" t="s">
        <v>1423</v>
      </c>
    </row>
    <row r="284" spans="1:7">
      <c r="A284" t="str">
        <f>"090206000"</f>
        <v>090206000</v>
      </c>
      <c r="B284" t="s">
        <v>864</v>
      </c>
      <c r="C284" t="s">
        <v>1432</v>
      </c>
      <c r="D284" t="s">
        <v>1411</v>
      </c>
      <c r="E284" t="s">
        <v>1417</v>
      </c>
      <c r="F284" s="1">
        <v>45307</v>
      </c>
      <c r="G284" t="s">
        <v>1413</v>
      </c>
    </row>
    <row r="285" spans="1:7">
      <c r="A285" t="str">
        <f>"078258000"</f>
        <v>078258000</v>
      </c>
      <c r="B285" t="s">
        <v>865</v>
      </c>
      <c r="C285" t="s">
        <v>1419</v>
      </c>
      <c r="D285" t="s">
        <v>1411</v>
      </c>
      <c r="E285" t="s">
        <v>1417</v>
      </c>
      <c r="F285" s="1">
        <v>45335</v>
      </c>
      <c r="G285" t="s">
        <v>1413</v>
      </c>
    </row>
    <row r="286" spans="1:7">
      <c r="A286" t="str">
        <f>"078259000"</f>
        <v>078259000</v>
      </c>
      <c r="B286" t="s">
        <v>867</v>
      </c>
      <c r="C286" t="s">
        <v>1419</v>
      </c>
      <c r="D286" t="s">
        <v>1411</v>
      </c>
      <c r="E286" t="s">
        <v>1417</v>
      </c>
      <c r="F286" s="1">
        <v>45335</v>
      </c>
      <c r="G286" t="s">
        <v>1413</v>
      </c>
    </row>
    <row r="287" spans="1:7">
      <c r="A287" t="str">
        <f>"078712000"</f>
        <v>078712000</v>
      </c>
      <c r="B287" t="s">
        <v>869</v>
      </c>
      <c r="C287" t="s">
        <v>1419</v>
      </c>
      <c r="D287" t="s">
        <v>1411</v>
      </c>
      <c r="E287" t="s">
        <v>1422</v>
      </c>
      <c r="F287" s="1">
        <v>45358</v>
      </c>
      <c r="G287" t="s">
        <v>1413</v>
      </c>
    </row>
    <row r="288" spans="1:7">
      <c r="A288" t="str">
        <f>"078985000"</f>
        <v>078985000</v>
      </c>
      <c r="B288" t="s">
        <v>870</v>
      </c>
      <c r="C288" t="s">
        <v>1419</v>
      </c>
      <c r="D288" t="s">
        <v>1411</v>
      </c>
      <c r="E288" t="s">
        <v>1412</v>
      </c>
      <c r="F288" s="1">
        <v>45351</v>
      </c>
      <c r="G288" t="s">
        <v>1413</v>
      </c>
    </row>
    <row r="289" spans="1:7">
      <c r="A289" t="str">
        <f>"108701000"</f>
        <v>108701000</v>
      </c>
      <c r="B289" t="s">
        <v>871</v>
      </c>
      <c r="C289" t="s">
        <v>1414</v>
      </c>
      <c r="D289" t="s">
        <v>1411</v>
      </c>
      <c r="E289" t="s">
        <v>1412</v>
      </c>
      <c r="F289" s="1">
        <v>45349</v>
      </c>
      <c r="G289" t="s">
        <v>1413</v>
      </c>
    </row>
    <row r="290" spans="1:7">
      <c r="A290" t="str">
        <f>"108775000"</f>
        <v>108775000</v>
      </c>
      <c r="B290" t="s">
        <v>872</v>
      </c>
      <c r="C290" t="s">
        <v>1414</v>
      </c>
      <c r="D290" t="s">
        <v>1411</v>
      </c>
      <c r="E290" t="s">
        <v>1415</v>
      </c>
      <c r="F290" s="1">
        <v>45352</v>
      </c>
      <c r="G290" t="s">
        <v>1413</v>
      </c>
    </row>
    <row r="291" spans="1:7">
      <c r="A291" t="str">
        <f>"078244000"</f>
        <v>078244000</v>
      </c>
      <c r="B291" t="s">
        <v>874</v>
      </c>
      <c r="C291" t="s">
        <v>1419</v>
      </c>
      <c r="D291" t="s">
        <v>1411</v>
      </c>
      <c r="E291" t="s">
        <v>1417</v>
      </c>
      <c r="F291" s="1">
        <v>45181</v>
      </c>
      <c r="G291" t="s">
        <v>1413</v>
      </c>
    </row>
    <row r="292" spans="1:7">
      <c r="A292" t="str">
        <f>"070260000"</f>
        <v>070260000</v>
      </c>
      <c r="B292" t="s">
        <v>875</v>
      </c>
      <c r="C292" t="s">
        <v>1419</v>
      </c>
      <c r="D292" t="s">
        <v>1411</v>
      </c>
      <c r="E292" t="s">
        <v>1422</v>
      </c>
      <c r="F292" s="1">
        <v>45356</v>
      </c>
      <c r="G292" t="s">
        <v>1413</v>
      </c>
    </row>
    <row r="293" spans="1:7">
      <c r="A293" t="str">
        <f>"130335000"</f>
        <v>130335000</v>
      </c>
      <c r="B293" t="s">
        <v>876</v>
      </c>
      <c r="C293" t="s">
        <v>1420</v>
      </c>
      <c r="D293" t="s">
        <v>1411</v>
      </c>
      <c r="E293" t="s">
        <v>1417</v>
      </c>
      <c r="F293" s="1">
        <v>45335</v>
      </c>
      <c r="G293" t="s">
        <v>1413</v>
      </c>
    </row>
    <row r="294" spans="1:7">
      <c r="A294" t="str">
        <f>"078204000"</f>
        <v>078204000</v>
      </c>
      <c r="B294" t="s">
        <v>877</v>
      </c>
      <c r="C294" t="s">
        <v>1419</v>
      </c>
      <c r="D294" t="s">
        <v>1411</v>
      </c>
      <c r="E294" t="s">
        <v>1417</v>
      </c>
      <c r="F294" s="1">
        <v>45281</v>
      </c>
      <c r="G294" t="s">
        <v>1413</v>
      </c>
    </row>
    <row r="295" spans="1:7">
      <c r="A295" t="str">
        <f>"090203000"</f>
        <v>090203000</v>
      </c>
      <c r="B295" t="s">
        <v>878</v>
      </c>
      <c r="C295" t="s">
        <v>1432</v>
      </c>
      <c r="D295" t="s">
        <v>1411</v>
      </c>
      <c r="E295" t="s">
        <v>1417</v>
      </c>
      <c r="F295" s="1">
        <v>45335</v>
      </c>
      <c r="G295" t="s">
        <v>1413</v>
      </c>
    </row>
    <row r="296" spans="1:7">
      <c r="A296" t="str">
        <f>"078752000"</f>
        <v>078752000</v>
      </c>
      <c r="B296" t="s">
        <v>880</v>
      </c>
      <c r="C296" t="s">
        <v>1419</v>
      </c>
      <c r="D296" t="s">
        <v>1411</v>
      </c>
      <c r="E296" t="s">
        <v>1417</v>
      </c>
      <c r="F296" s="1">
        <v>45335</v>
      </c>
      <c r="G296" t="s">
        <v>1413</v>
      </c>
    </row>
    <row r="297" spans="1:7">
      <c r="A297" t="str">
        <f>"078233000"</f>
        <v>078233000</v>
      </c>
      <c r="B297" t="s">
        <v>880</v>
      </c>
      <c r="C297" t="s">
        <v>1419</v>
      </c>
      <c r="D297" t="s">
        <v>1411</v>
      </c>
      <c r="E297" t="s">
        <v>1417</v>
      </c>
      <c r="F297" s="1">
        <v>45335</v>
      </c>
      <c r="G297" t="s">
        <v>1413</v>
      </c>
    </row>
    <row r="298" spans="1:7">
      <c r="A298" t="str">
        <f>"130222000"</f>
        <v>130222000</v>
      </c>
      <c r="B298" t="s">
        <v>881</v>
      </c>
      <c r="C298" t="s">
        <v>1420</v>
      </c>
      <c r="D298" t="s">
        <v>1411</v>
      </c>
      <c r="E298" t="s">
        <v>1415</v>
      </c>
      <c r="F298" s="1">
        <v>45355</v>
      </c>
      <c r="G298" t="s">
        <v>1413</v>
      </c>
    </row>
    <row r="299" spans="1:7">
      <c r="A299" t="str">
        <f>"140416000"</f>
        <v>140416000</v>
      </c>
      <c r="B299" t="s">
        <v>882</v>
      </c>
      <c r="C299" t="s">
        <v>1425</v>
      </c>
      <c r="D299" t="s">
        <v>1411</v>
      </c>
      <c r="E299" t="s">
        <v>1415</v>
      </c>
      <c r="F299" s="1">
        <v>45359</v>
      </c>
      <c r="G299" t="s">
        <v>1413</v>
      </c>
    </row>
    <row r="300" spans="1:7">
      <c r="A300" t="str">
        <f>"078535000"</f>
        <v>078535000</v>
      </c>
      <c r="B300" t="s">
        <v>883</v>
      </c>
      <c r="C300" t="s">
        <v>1419</v>
      </c>
      <c r="D300" t="s">
        <v>1411</v>
      </c>
      <c r="E300" t="s">
        <v>1417</v>
      </c>
      <c r="F300" s="1">
        <v>45279</v>
      </c>
      <c r="G300" t="s">
        <v>1413</v>
      </c>
    </row>
    <row r="301" spans="1:7">
      <c r="A301" t="str">
        <f>"078553000"</f>
        <v>078553000</v>
      </c>
      <c r="B301" t="s">
        <v>885</v>
      </c>
      <c r="C301" t="s">
        <v>1419</v>
      </c>
      <c r="D301" t="s">
        <v>1411</v>
      </c>
      <c r="E301" t="s">
        <v>1412</v>
      </c>
      <c r="F301" s="1">
        <v>45349</v>
      </c>
      <c r="G301" t="s">
        <v>1413</v>
      </c>
    </row>
    <row r="302" spans="1:7">
      <c r="A302" t="str">
        <f>"078531000"</f>
        <v>078531000</v>
      </c>
      <c r="B302" t="s">
        <v>887</v>
      </c>
      <c r="C302" t="s">
        <v>1419</v>
      </c>
      <c r="D302" t="s">
        <v>1411</v>
      </c>
      <c r="E302" t="s">
        <v>1417</v>
      </c>
      <c r="F302" s="1">
        <v>45335</v>
      </c>
      <c r="G302" t="s">
        <v>1413</v>
      </c>
    </row>
    <row r="303" spans="1:7">
      <c r="A303" t="str">
        <f>"078519000"</f>
        <v>078519000</v>
      </c>
      <c r="B303" t="s">
        <v>888</v>
      </c>
      <c r="C303" t="s">
        <v>1419</v>
      </c>
      <c r="D303" t="s">
        <v>1411</v>
      </c>
      <c r="E303" t="s">
        <v>1412</v>
      </c>
      <c r="F303" s="1">
        <v>45344</v>
      </c>
      <c r="G303" t="s">
        <v>1413</v>
      </c>
    </row>
    <row r="304" spans="1:7">
      <c r="A304" t="str">
        <f>"078520000"</f>
        <v>078520000</v>
      </c>
      <c r="B304" t="s">
        <v>889</v>
      </c>
      <c r="C304" t="s">
        <v>1419</v>
      </c>
      <c r="D304" t="s">
        <v>1411</v>
      </c>
      <c r="E304" t="s">
        <v>1412</v>
      </c>
      <c r="F304" s="1">
        <v>45344</v>
      </c>
      <c r="G304" t="s">
        <v>1413</v>
      </c>
    </row>
    <row r="305" spans="1:7">
      <c r="A305" t="str">
        <f>"078536000"</f>
        <v>078536000</v>
      </c>
      <c r="B305" t="s">
        <v>890</v>
      </c>
      <c r="C305" t="s">
        <v>1419</v>
      </c>
      <c r="D305" t="s">
        <v>1411</v>
      </c>
      <c r="E305" t="s">
        <v>1417</v>
      </c>
      <c r="F305" s="1">
        <v>45335</v>
      </c>
      <c r="G305" t="s">
        <v>1413</v>
      </c>
    </row>
    <row r="306" spans="1:7">
      <c r="A306" t="str">
        <f>"078532000"</f>
        <v>078532000</v>
      </c>
      <c r="B306" t="s">
        <v>892</v>
      </c>
      <c r="C306" t="s">
        <v>1419</v>
      </c>
      <c r="D306" t="s">
        <v>1411</v>
      </c>
      <c r="E306" t="s">
        <v>1412</v>
      </c>
      <c r="F306" s="1">
        <v>45344</v>
      </c>
      <c r="G306" t="s">
        <v>1413</v>
      </c>
    </row>
    <row r="307" spans="1:7">
      <c r="A307" t="str">
        <f>"078521000"</f>
        <v>078521000</v>
      </c>
      <c r="B307" t="s">
        <v>894</v>
      </c>
      <c r="C307" t="s">
        <v>1419</v>
      </c>
      <c r="D307" t="s">
        <v>1411</v>
      </c>
      <c r="E307" t="s">
        <v>1412</v>
      </c>
      <c r="F307" s="1">
        <v>45342</v>
      </c>
      <c r="G307" t="s">
        <v>1413</v>
      </c>
    </row>
    <row r="308" spans="1:7">
      <c r="A308" t="str">
        <f>"078522000"</f>
        <v>078522000</v>
      </c>
      <c r="B308" t="s">
        <v>896</v>
      </c>
      <c r="C308" t="s">
        <v>1419</v>
      </c>
      <c r="D308" t="s">
        <v>1411</v>
      </c>
      <c r="E308" t="s">
        <v>1412</v>
      </c>
      <c r="F308" s="1">
        <v>45357</v>
      </c>
      <c r="G308" t="s">
        <v>1413</v>
      </c>
    </row>
    <row r="309" spans="1:7">
      <c r="A309" t="str">
        <f>"078547000"</f>
        <v>078547000</v>
      </c>
      <c r="B309" t="s">
        <v>898</v>
      </c>
      <c r="C309" t="s">
        <v>1419</v>
      </c>
      <c r="D309" t="s">
        <v>1411</v>
      </c>
      <c r="E309" t="s">
        <v>1412</v>
      </c>
      <c r="F309" s="1">
        <v>45349</v>
      </c>
      <c r="G309" t="s">
        <v>1413</v>
      </c>
    </row>
    <row r="310" spans="1:7">
      <c r="A310" t="str">
        <f>"078537000"</f>
        <v>078537000</v>
      </c>
      <c r="B310" t="s">
        <v>900</v>
      </c>
      <c r="C310" t="s">
        <v>1419</v>
      </c>
      <c r="D310" t="s">
        <v>1411</v>
      </c>
      <c r="E310" t="s">
        <v>1417</v>
      </c>
      <c r="F310" s="1">
        <v>45295</v>
      </c>
      <c r="G310" t="s">
        <v>1413</v>
      </c>
    </row>
    <row r="311" spans="1:7">
      <c r="A311" t="str">
        <f>"078538000"</f>
        <v>078538000</v>
      </c>
      <c r="B311" t="s">
        <v>902</v>
      </c>
      <c r="C311" t="s">
        <v>1419</v>
      </c>
      <c r="D311" t="s">
        <v>1411</v>
      </c>
      <c r="E311" t="s">
        <v>1417</v>
      </c>
      <c r="F311" s="1">
        <v>45335</v>
      </c>
      <c r="G311" t="s">
        <v>1413</v>
      </c>
    </row>
    <row r="312" spans="1:7">
      <c r="A312" t="str">
        <f>"078552000"</f>
        <v>078552000</v>
      </c>
      <c r="B312" t="s">
        <v>904</v>
      </c>
      <c r="C312" t="s">
        <v>1419</v>
      </c>
      <c r="D312" t="s">
        <v>1411</v>
      </c>
      <c r="E312" t="s">
        <v>1412</v>
      </c>
      <c r="F312" s="1">
        <v>45349</v>
      </c>
      <c r="G312" t="s">
        <v>1413</v>
      </c>
    </row>
    <row r="313" spans="1:7">
      <c r="A313" t="str">
        <f>"078210000"</f>
        <v>078210000</v>
      </c>
      <c r="B313" t="s">
        <v>905</v>
      </c>
      <c r="C313" t="s">
        <v>1419</v>
      </c>
      <c r="D313" t="s">
        <v>1411</v>
      </c>
      <c r="E313" t="s">
        <v>1426</v>
      </c>
      <c r="F313" s="1">
        <v>45341</v>
      </c>
      <c r="G313" t="s">
        <v>1413</v>
      </c>
    </row>
    <row r="314" spans="1:7">
      <c r="A314" t="str">
        <f>"108735000"</f>
        <v>108735000</v>
      </c>
      <c r="B314" t="s">
        <v>907</v>
      </c>
      <c r="C314" t="s">
        <v>1414</v>
      </c>
      <c r="D314" t="s">
        <v>1411</v>
      </c>
      <c r="E314" t="s">
        <v>1412</v>
      </c>
      <c r="F314" s="1">
        <v>45222</v>
      </c>
      <c r="G314" t="s">
        <v>1423</v>
      </c>
    </row>
    <row r="315" spans="1:7">
      <c r="A315" t="str">
        <f>"078741000"</f>
        <v>078741000</v>
      </c>
      <c r="B315" t="s">
        <v>909</v>
      </c>
      <c r="C315" t="s">
        <v>1419</v>
      </c>
      <c r="D315" t="s">
        <v>1411</v>
      </c>
      <c r="E315" t="s">
        <v>1412</v>
      </c>
      <c r="F315" s="1">
        <v>45349</v>
      </c>
      <c r="G315" t="s">
        <v>1413</v>
      </c>
    </row>
    <row r="316" spans="1:7">
      <c r="A316" t="str">
        <f>"070405000"</f>
        <v>070405000</v>
      </c>
      <c r="B316" t="s">
        <v>910</v>
      </c>
      <c r="C316" t="s">
        <v>1419</v>
      </c>
      <c r="D316" t="s">
        <v>1411</v>
      </c>
      <c r="E316" t="s">
        <v>1417</v>
      </c>
      <c r="F316" s="1">
        <v>45294</v>
      </c>
      <c r="G316" t="s">
        <v>1413</v>
      </c>
    </row>
    <row r="317" spans="1:7">
      <c r="A317" t="str">
        <f>"110244000"</f>
        <v>110244000</v>
      </c>
      <c r="B317" t="s">
        <v>911</v>
      </c>
      <c r="C317" t="s">
        <v>1410</v>
      </c>
      <c r="D317" t="s">
        <v>1411</v>
      </c>
      <c r="E317" t="s">
        <v>1412</v>
      </c>
      <c r="F317" s="1">
        <v>45344</v>
      </c>
      <c r="G317" t="s">
        <v>1413</v>
      </c>
    </row>
    <row r="318" spans="1:7">
      <c r="A318" t="str">
        <f>"078795000"</f>
        <v>078795000</v>
      </c>
      <c r="B318" t="s">
        <v>913</v>
      </c>
      <c r="C318" t="s">
        <v>1419</v>
      </c>
      <c r="D318" t="s">
        <v>1411</v>
      </c>
      <c r="E318" t="s">
        <v>1412</v>
      </c>
      <c r="F318" s="1">
        <v>45348</v>
      </c>
      <c r="G318" t="s">
        <v>1413</v>
      </c>
    </row>
    <row r="319" spans="1:7">
      <c r="A319" t="str">
        <f>"078928000"</f>
        <v>078928000</v>
      </c>
      <c r="B319" t="s">
        <v>915</v>
      </c>
      <c r="C319" t="s">
        <v>1419</v>
      </c>
      <c r="D319" t="s">
        <v>1411</v>
      </c>
      <c r="E319" t="s">
        <v>1412</v>
      </c>
      <c r="F319" s="1">
        <v>45341</v>
      </c>
      <c r="G319" t="s">
        <v>1413</v>
      </c>
    </row>
    <row r="320" spans="1:7">
      <c r="A320" t="str">
        <f>"090202000"</f>
        <v>090202000</v>
      </c>
      <c r="B320" t="s">
        <v>916</v>
      </c>
      <c r="C320" t="s">
        <v>1432</v>
      </c>
      <c r="D320" t="s">
        <v>1411</v>
      </c>
      <c r="E320" t="s">
        <v>1417</v>
      </c>
      <c r="F320" s="1">
        <v>45335</v>
      </c>
      <c r="G320" t="s">
        <v>1413</v>
      </c>
    </row>
    <row r="321" spans="1:7">
      <c r="A321" t="str">
        <f>"148759000"</f>
        <v>148759000</v>
      </c>
      <c r="B321" t="s">
        <v>917</v>
      </c>
      <c r="C321" t="s">
        <v>1425</v>
      </c>
      <c r="D321" t="s">
        <v>1411</v>
      </c>
      <c r="E321" t="s">
        <v>1417</v>
      </c>
      <c r="F321" s="1">
        <v>45335</v>
      </c>
      <c r="G321" t="s">
        <v>1413</v>
      </c>
    </row>
    <row r="322" spans="1:7">
      <c r="A322" t="str">
        <f>"078240000"</f>
        <v>078240000</v>
      </c>
      <c r="B322" t="s">
        <v>918</v>
      </c>
      <c r="C322" t="s">
        <v>1419</v>
      </c>
      <c r="D322" t="s">
        <v>1411</v>
      </c>
      <c r="E322" t="s">
        <v>1412</v>
      </c>
      <c r="F322" s="1">
        <v>45349</v>
      </c>
      <c r="G322" t="s">
        <v>1413</v>
      </c>
    </row>
    <row r="323" spans="1:7">
      <c r="A323" t="str">
        <f>"128704000"</f>
        <v>128704000</v>
      </c>
      <c r="B323" t="s">
        <v>919</v>
      </c>
      <c r="C323" t="s">
        <v>1436</v>
      </c>
      <c r="D323" t="s">
        <v>1411</v>
      </c>
      <c r="E323" t="s">
        <v>1412</v>
      </c>
      <c r="F323" s="1">
        <v>45349</v>
      </c>
      <c r="G323" t="s">
        <v>1413</v>
      </c>
    </row>
    <row r="324" spans="1:7">
      <c r="A324" t="str">
        <f>"078230000"</f>
        <v>078230000</v>
      </c>
      <c r="B324" t="s">
        <v>920</v>
      </c>
      <c r="C324" t="s">
        <v>1419</v>
      </c>
      <c r="D324" t="s">
        <v>1411</v>
      </c>
      <c r="E324" t="s">
        <v>1412</v>
      </c>
      <c r="F324" s="1">
        <v>45352</v>
      </c>
      <c r="G324" t="s">
        <v>1413</v>
      </c>
    </row>
    <row r="325" spans="1:7">
      <c r="A325" t="str">
        <f>"078718000"</f>
        <v>078718000</v>
      </c>
      <c r="B325" t="s">
        <v>922</v>
      </c>
      <c r="C325" t="s">
        <v>1419</v>
      </c>
      <c r="D325" t="s">
        <v>1411</v>
      </c>
      <c r="E325" t="s">
        <v>1412</v>
      </c>
      <c r="F325" s="1">
        <v>45352</v>
      </c>
      <c r="G325" t="s">
        <v>1413</v>
      </c>
    </row>
    <row r="326" spans="1:7">
      <c r="A326" t="str">
        <f>"078570000"</f>
        <v>078570000</v>
      </c>
      <c r="B326" t="s">
        <v>923</v>
      </c>
      <c r="C326" t="s">
        <v>1419</v>
      </c>
      <c r="D326" t="s">
        <v>1411</v>
      </c>
      <c r="E326" t="s">
        <v>1412</v>
      </c>
      <c r="F326" s="1">
        <v>45352</v>
      </c>
      <c r="G326" t="s">
        <v>1413</v>
      </c>
    </row>
    <row r="327" spans="1:7">
      <c r="A327" t="str">
        <f>"078580000"</f>
        <v>078580000</v>
      </c>
      <c r="B327" t="s">
        <v>924</v>
      </c>
      <c r="C327" t="s">
        <v>1419</v>
      </c>
      <c r="D327" t="s">
        <v>1411</v>
      </c>
      <c r="E327" t="s">
        <v>1412</v>
      </c>
      <c r="F327" s="1">
        <v>45352</v>
      </c>
      <c r="G327" t="s">
        <v>1413</v>
      </c>
    </row>
    <row r="328" spans="1:7">
      <c r="A328" t="str">
        <f>"078571000"</f>
        <v>078571000</v>
      </c>
      <c r="B328" t="s">
        <v>925</v>
      </c>
      <c r="C328" t="s">
        <v>1419</v>
      </c>
      <c r="D328" t="s">
        <v>1411</v>
      </c>
      <c r="E328" t="s">
        <v>1412</v>
      </c>
      <c r="F328" s="1">
        <v>45352</v>
      </c>
      <c r="G328" t="s">
        <v>1413</v>
      </c>
    </row>
    <row r="329" spans="1:7">
      <c r="A329" t="str">
        <f>"078949000"</f>
        <v>078949000</v>
      </c>
      <c r="B329" t="s">
        <v>927</v>
      </c>
      <c r="C329" t="s">
        <v>1419</v>
      </c>
      <c r="D329" t="s">
        <v>1411</v>
      </c>
      <c r="E329" t="s">
        <v>1412</v>
      </c>
      <c r="F329" s="1">
        <v>45352</v>
      </c>
      <c r="G329" t="s">
        <v>1413</v>
      </c>
    </row>
    <row r="330" spans="1:7">
      <c r="A330" t="str">
        <f>"078576000"</f>
        <v>078576000</v>
      </c>
      <c r="B330" t="s">
        <v>929</v>
      </c>
      <c r="C330" t="s">
        <v>1419</v>
      </c>
      <c r="D330" t="s">
        <v>1411</v>
      </c>
      <c r="E330" t="s">
        <v>1415</v>
      </c>
      <c r="F330" s="1">
        <v>45356</v>
      </c>
      <c r="G330" t="s">
        <v>1413</v>
      </c>
    </row>
    <row r="331" spans="1:7">
      <c r="A331" t="str">
        <f>"108706000"</f>
        <v>108706000</v>
      </c>
      <c r="B331" t="s">
        <v>931</v>
      </c>
      <c r="C331" t="s">
        <v>1414</v>
      </c>
      <c r="D331" t="s">
        <v>1411</v>
      </c>
      <c r="E331" t="s">
        <v>1412</v>
      </c>
      <c r="F331" s="1">
        <v>45352</v>
      </c>
      <c r="G331" t="s">
        <v>1413</v>
      </c>
    </row>
    <row r="332" spans="1:7">
      <c r="A332" t="str">
        <f>"078999000"</f>
        <v>078999000</v>
      </c>
      <c r="B332" t="s">
        <v>932</v>
      </c>
      <c r="C332" t="s">
        <v>1419</v>
      </c>
      <c r="D332" t="s">
        <v>1411</v>
      </c>
      <c r="E332" t="s">
        <v>1412</v>
      </c>
      <c r="F332" s="1">
        <v>45352</v>
      </c>
      <c r="G332" t="s">
        <v>1413</v>
      </c>
    </row>
    <row r="333" spans="1:7">
      <c r="A333" t="str">
        <f>"078765000"</f>
        <v>078765000</v>
      </c>
      <c r="B333" t="s">
        <v>934</v>
      </c>
      <c r="C333" t="s">
        <v>1419</v>
      </c>
      <c r="D333" t="s">
        <v>1411</v>
      </c>
      <c r="E333" t="s">
        <v>1415</v>
      </c>
      <c r="F333" s="1">
        <v>45356</v>
      </c>
      <c r="G333" t="s">
        <v>1413</v>
      </c>
    </row>
    <row r="334" spans="1:7">
      <c r="A334" t="str">
        <f>"078952000"</f>
        <v>078952000</v>
      </c>
      <c r="B334" t="s">
        <v>936</v>
      </c>
      <c r="C334" t="s">
        <v>1419</v>
      </c>
      <c r="D334" t="s">
        <v>1411</v>
      </c>
      <c r="E334" t="s">
        <v>1412</v>
      </c>
      <c r="F334" s="1">
        <v>45352</v>
      </c>
      <c r="G334" t="s">
        <v>1413</v>
      </c>
    </row>
    <row r="335" spans="1:7">
      <c r="A335" t="str">
        <f>"078954000"</f>
        <v>078954000</v>
      </c>
      <c r="B335" t="s">
        <v>938</v>
      </c>
      <c r="C335" t="s">
        <v>1419</v>
      </c>
      <c r="D335" t="s">
        <v>1411</v>
      </c>
      <c r="E335" t="s">
        <v>1412</v>
      </c>
      <c r="F335" s="1">
        <v>45352</v>
      </c>
      <c r="G335" t="s">
        <v>1413</v>
      </c>
    </row>
    <row r="336" spans="1:7">
      <c r="A336" t="str">
        <f>"078567000"</f>
        <v>078567000</v>
      </c>
      <c r="B336" t="s">
        <v>939</v>
      </c>
      <c r="C336" t="s">
        <v>1419</v>
      </c>
      <c r="D336" t="s">
        <v>1411</v>
      </c>
      <c r="E336" t="s">
        <v>1412</v>
      </c>
      <c r="F336" s="1">
        <v>45352</v>
      </c>
      <c r="G336" t="s">
        <v>1413</v>
      </c>
    </row>
    <row r="337" spans="1:7">
      <c r="A337" t="str">
        <f>"078946000"</f>
        <v>078946000</v>
      </c>
      <c r="B337" t="s">
        <v>941</v>
      </c>
      <c r="C337" t="s">
        <v>1419</v>
      </c>
      <c r="D337" t="s">
        <v>1411</v>
      </c>
      <c r="E337" t="s">
        <v>1412</v>
      </c>
      <c r="F337" s="1">
        <v>45352</v>
      </c>
      <c r="G337" t="s">
        <v>1413</v>
      </c>
    </row>
    <row r="338" spans="1:7">
      <c r="A338" t="str">
        <f>"078616000"</f>
        <v>078616000</v>
      </c>
      <c r="B338" t="s">
        <v>942</v>
      </c>
      <c r="C338" t="s">
        <v>1419</v>
      </c>
      <c r="D338" t="s">
        <v>1411</v>
      </c>
      <c r="E338" t="s">
        <v>1412</v>
      </c>
      <c r="F338" s="1">
        <v>45345</v>
      </c>
      <c r="G338" t="s">
        <v>1413</v>
      </c>
    </row>
    <row r="339" spans="1:7">
      <c r="A339" t="str">
        <f>"090227000"</f>
        <v>090227000</v>
      </c>
      <c r="B339" t="s">
        <v>943</v>
      </c>
      <c r="C339" t="s">
        <v>1432</v>
      </c>
      <c r="D339" t="s">
        <v>1411</v>
      </c>
      <c r="E339" t="s">
        <v>1417</v>
      </c>
      <c r="F339" s="1">
        <v>45272</v>
      </c>
      <c r="G339" t="s">
        <v>1413</v>
      </c>
    </row>
    <row r="340" spans="1:7">
      <c r="A340" t="str">
        <f>"138759000"</f>
        <v>138759000</v>
      </c>
      <c r="B340" t="s">
        <v>945</v>
      </c>
      <c r="C340" t="s">
        <v>1420</v>
      </c>
      <c r="D340" t="s">
        <v>1411</v>
      </c>
      <c r="E340" t="s">
        <v>1412</v>
      </c>
      <c r="F340" s="1">
        <v>45341</v>
      </c>
      <c r="G340" t="s">
        <v>1413</v>
      </c>
    </row>
    <row r="341" spans="1:7">
      <c r="A341" t="str">
        <f>"078779000"</f>
        <v>078779000</v>
      </c>
      <c r="B341" t="s">
        <v>947</v>
      </c>
      <c r="C341" t="s">
        <v>1419</v>
      </c>
      <c r="D341" t="s">
        <v>1411</v>
      </c>
      <c r="E341" t="s">
        <v>1412</v>
      </c>
      <c r="F341" s="1">
        <v>45349</v>
      </c>
      <c r="G341" t="s">
        <v>1413</v>
      </c>
    </row>
    <row r="342" spans="1:7">
      <c r="A342" t="str">
        <f>"108784000"</f>
        <v>108784000</v>
      </c>
      <c r="B342" t="s">
        <v>948</v>
      </c>
      <c r="C342" t="s">
        <v>1414</v>
      </c>
      <c r="D342" t="s">
        <v>1411</v>
      </c>
      <c r="E342" t="s">
        <v>1412</v>
      </c>
      <c r="F342" s="1">
        <v>45352</v>
      </c>
      <c r="G342" t="s">
        <v>1413</v>
      </c>
    </row>
    <row r="343" spans="1:7">
      <c r="A343" t="str">
        <f>"078759000"</f>
        <v>078759000</v>
      </c>
      <c r="B343" t="s">
        <v>949</v>
      </c>
      <c r="C343" t="s">
        <v>1419</v>
      </c>
      <c r="D343" t="s">
        <v>1411</v>
      </c>
      <c r="E343" t="s">
        <v>1418</v>
      </c>
      <c r="F343" s="1">
        <v>45331</v>
      </c>
      <c r="G343" t="s">
        <v>1413</v>
      </c>
    </row>
    <row r="344" spans="1:7">
      <c r="A344" t="str">
        <f>"088620000"</f>
        <v>088620000</v>
      </c>
      <c r="B344" t="s">
        <v>950</v>
      </c>
      <c r="C344" t="s">
        <v>1416</v>
      </c>
      <c r="D344" t="s">
        <v>1411</v>
      </c>
      <c r="E344" t="s">
        <v>1415</v>
      </c>
      <c r="F344" s="1">
        <v>45359</v>
      </c>
      <c r="G344" t="s">
        <v>1413</v>
      </c>
    </row>
    <row r="345" spans="1:7">
      <c r="A345" t="str">
        <f>"080220000"</f>
        <v>080220000</v>
      </c>
      <c r="B345" t="s">
        <v>951</v>
      </c>
      <c r="C345" t="s">
        <v>1416</v>
      </c>
      <c r="D345" t="s">
        <v>1411</v>
      </c>
      <c r="E345" t="s">
        <v>1418</v>
      </c>
      <c r="F345" s="1">
        <v>45358</v>
      </c>
      <c r="G345" t="s">
        <v>1413</v>
      </c>
    </row>
    <row r="346" spans="1:7">
      <c r="A346" t="str">
        <f>"130323000"</f>
        <v>130323000</v>
      </c>
      <c r="B346" t="s">
        <v>952</v>
      </c>
      <c r="C346" t="s">
        <v>1420</v>
      </c>
      <c r="D346" t="s">
        <v>1411</v>
      </c>
      <c r="E346" t="s">
        <v>1412</v>
      </c>
      <c r="F346" s="1">
        <v>45349</v>
      </c>
      <c r="G346" t="s">
        <v>1413</v>
      </c>
    </row>
    <row r="347" spans="1:7">
      <c r="A347" t="str">
        <f>"070428000"</f>
        <v>070428000</v>
      </c>
      <c r="B347" t="s">
        <v>953</v>
      </c>
      <c r="C347" t="s">
        <v>1419</v>
      </c>
      <c r="D347" t="s">
        <v>1411</v>
      </c>
      <c r="E347" t="s">
        <v>1417</v>
      </c>
      <c r="F347" s="1">
        <v>45335</v>
      </c>
      <c r="G347" t="s">
        <v>1413</v>
      </c>
    </row>
    <row r="348" spans="1:7">
      <c r="A348" t="str">
        <f>"156007000"</f>
        <v>156007000</v>
      </c>
      <c r="B348" t="s">
        <v>955</v>
      </c>
      <c r="C348" t="s">
        <v>1431</v>
      </c>
      <c r="D348" t="s">
        <v>1411</v>
      </c>
      <c r="E348" t="s">
        <v>1427</v>
      </c>
      <c r="F348" s="1">
        <v>44984</v>
      </c>
      <c r="G348" t="s">
        <v>1423</v>
      </c>
    </row>
    <row r="349" spans="1:7">
      <c r="A349" t="str">
        <f>"138503000"</f>
        <v>138503000</v>
      </c>
      <c r="B349" t="s">
        <v>956</v>
      </c>
      <c r="C349" t="s">
        <v>1420</v>
      </c>
      <c r="D349" t="s">
        <v>1411</v>
      </c>
      <c r="E349" t="s">
        <v>1422</v>
      </c>
      <c r="F349" s="1">
        <v>45358</v>
      </c>
      <c r="G349" t="s">
        <v>1413</v>
      </c>
    </row>
    <row r="350" spans="1:7">
      <c r="A350" t="str">
        <f>"080201000"</f>
        <v>080201000</v>
      </c>
      <c r="B350" t="s">
        <v>957</v>
      </c>
      <c r="C350" t="s">
        <v>1416</v>
      </c>
      <c r="D350" t="s">
        <v>1411</v>
      </c>
      <c r="E350" t="s">
        <v>1412</v>
      </c>
      <c r="F350" s="1">
        <v>45355</v>
      </c>
      <c r="G350" t="s">
        <v>1413</v>
      </c>
    </row>
    <row r="351" spans="1:7">
      <c r="A351" t="str">
        <f>"070459000"</f>
        <v>070459000</v>
      </c>
      <c r="B351" t="s">
        <v>958</v>
      </c>
      <c r="C351" t="s">
        <v>1419</v>
      </c>
      <c r="D351" t="s">
        <v>1411</v>
      </c>
      <c r="E351" t="s">
        <v>1422</v>
      </c>
      <c r="F351" s="1">
        <v>45357</v>
      </c>
      <c r="G351" t="s">
        <v>1413</v>
      </c>
    </row>
    <row r="352" spans="1:7">
      <c r="A352" t="str">
        <f>"078968000"</f>
        <v>078968000</v>
      </c>
      <c r="B352" t="s">
        <v>959</v>
      </c>
      <c r="C352" t="s">
        <v>1419</v>
      </c>
      <c r="D352" t="s">
        <v>1411</v>
      </c>
      <c r="E352" t="s">
        <v>1412</v>
      </c>
      <c r="F352" s="1">
        <v>45341</v>
      </c>
      <c r="G352" t="s">
        <v>1413</v>
      </c>
    </row>
    <row r="353" spans="1:7">
      <c r="A353" t="str">
        <f>"118708000"</f>
        <v>118708000</v>
      </c>
      <c r="B353" t="s">
        <v>960</v>
      </c>
      <c r="C353" t="s">
        <v>1410</v>
      </c>
      <c r="D353" t="s">
        <v>1411</v>
      </c>
      <c r="E353" t="s">
        <v>1412</v>
      </c>
      <c r="F353" s="1">
        <v>45336</v>
      </c>
      <c r="G353" t="s">
        <v>1413</v>
      </c>
    </row>
    <row r="354" spans="1:7">
      <c r="A354" t="str">
        <f>"078101000"</f>
        <v>078101000</v>
      </c>
      <c r="B354" t="s">
        <v>961</v>
      </c>
      <c r="C354" t="s">
        <v>1419</v>
      </c>
      <c r="D354" t="s">
        <v>1411</v>
      </c>
      <c r="E354" t="s">
        <v>1412</v>
      </c>
      <c r="F354" s="1">
        <v>45336</v>
      </c>
      <c r="G354" t="s">
        <v>1413</v>
      </c>
    </row>
    <row r="355" spans="1:7">
      <c r="A355" t="str">
        <f>"078507000"</f>
        <v>078507000</v>
      </c>
      <c r="B355" t="s">
        <v>963</v>
      </c>
      <c r="C355" t="s">
        <v>1419</v>
      </c>
      <c r="D355" t="s">
        <v>1411</v>
      </c>
      <c r="E355" t="s">
        <v>1412</v>
      </c>
      <c r="F355" s="1">
        <v>45357</v>
      </c>
      <c r="G355" t="s">
        <v>1413</v>
      </c>
    </row>
    <row r="356" spans="1:7">
      <c r="A356" t="str">
        <f>"078416000"</f>
        <v>078416000</v>
      </c>
      <c r="B356" t="s">
        <v>964</v>
      </c>
      <c r="C356" t="s">
        <v>1410</v>
      </c>
      <c r="D356" t="s">
        <v>1411</v>
      </c>
      <c r="E356" t="s">
        <v>1412</v>
      </c>
      <c r="F356" s="1">
        <v>45355</v>
      </c>
      <c r="G356" t="s">
        <v>1413</v>
      </c>
    </row>
    <row r="357" spans="1:7">
      <c r="A357" t="str">
        <f>"118718000"</f>
        <v>118718000</v>
      </c>
      <c r="B357" t="s">
        <v>965</v>
      </c>
      <c r="C357" t="s">
        <v>1410</v>
      </c>
      <c r="D357" t="s">
        <v>1411</v>
      </c>
      <c r="E357" t="s">
        <v>1412</v>
      </c>
      <c r="F357" s="1">
        <v>45357</v>
      </c>
      <c r="G357" t="s">
        <v>1413</v>
      </c>
    </row>
    <row r="358" spans="1:7">
      <c r="A358" t="str">
        <f>"078417000"</f>
        <v>078417000</v>
      </c>
      <c r="B358" t="s">
        <v>966</v>
      </c>
      <c r="C358" t="s">
        <v>1410</v>
      </c>
      <c r="D358" t="s">
        <v>1411</v>
      </c>
      <c r="E358" t="s">
        <v>1412</v>
      </c>
      <c r="F358" s="1">
        <v>45355</v>
      </c>
      <c r="G358" t="s">
        <v>1413</v>
      </c>
    </row>
    <row r="359" spans="1:7">
      <c r="A359" t="str">
        <f>"078642000"</f>
        <v>078642000</v>
      </c>
      <c r="B359" t="s">
        <v>967</v>
      </c>
      <c r="C359" t="s">
        <v>1419</v>
      </c>
      <c r="D359" t="s">
        <v>1411</v>
      </c>
      <c r="E359" t="s">
        <v>1417</v>
      </c>
      <c r="F359" s="1">
        <v>45335</v>
      </c>
      <c r="G359" t="s">
        <v>1413</v>
      </c>
    </row>
    <row r="360" spans="1:7">
      <c r="A360" t="str">
        <f>"078413000"</f>
        <v>078413000</v>
      </c>
      <c r="B360" t="s">
        <v>968</v>
      </c>
      <c r="C360" t="s">
        <v>1419</v>
      </c>
      <c r="D360" t="s">
        <v>1411</v>
      </c>
      <c r="E360" t="s">
        <v>1417</v>
      </c>
      <c r="F360" s="1">
        <v>45335</v>
      </c>
      <c r="G360" t="s">
        <v>1413</v>
      </c>
    </row>
    <row r="361" spans="1:7">
      <c r="A361" t="str">
        <f>"108603000"</f>
        <v>108603000</v>
      </c>
      <c r="B361" t="s">
        <v>969</v>
      </c>
      <c r="C361" t="s">
        <v>1419</v>
      </c>
      <c r="D361" t="s">
        <v>1411</v>
      </c>
      <c r="E361" t="s">
        <v>1422</v>
      </c>
      <c r="F361" s="1">
        <v>45357</v>
      </c>
      <c r="G361" t="s">
        <v>1413</v>
      </c>
    </row>
    <row r="362" spans="1:7">
      <c r="A362" t="str">
        <f>"078229000"</f>
        <v>078229000</v>
      </c>
      <c r="B362" t="s">
        <v>970</v>
      </c>
      <c r="C362" t="s">
        <v>1419</v>
      </c>
      <c r="D362" t="s">
        <v>1411</v>
      </c>
      <c r="E362" t="s">
        <v>1417</v>
      </c>
      <c r="F362" s="1">
        <v>45335</v>
      </c>
      <c r="G362" t="s">
        <v>1413</v>
      </c>
    </row>
    <row r="363" spans="1:7">
      <c r="A363" t="str">
        <f>"078408000"</f>
        <v>078408000</v>
      </c>
      <c r="B363" t="s">
        <v>971</v>
      </c>
      <c r="C363" t="s">
        <v>1419</v>
      </c>
      <c r="D363" t="s">
        <v>1411</v>
      </c>
      <c r="E363" t="s">
        <v>1422</v>
      </c>
      <c r="F363" s="1">
        <v>45356</v>
      </c>
      <c r="G363" t="s">
        <v>1413</v>
      </c>
    </row>
    <row r="364" spans="1:7">
      <c r="A364" t="str">
        <f>"078635000"</f>
        <v>078635000</v>
      </c>
      <c r="B364" t="s">
        <v>972</v>
      </c>
      <c r="C364" t="s">
        <v>1424</v>
      </c>
      <c r="D364" t="s">
        <v>1411</v>
      </c>
      <c r="E364" t="s">
        <v>1412</v>
      </c>
      <c r="F364" s="1">
        <v>45341</v>
      </c>
      <c r="G364" t="s">
        <v>1413</v>
      </c>
    </row>
    <row r="365" spans="1:7">
      <c r="A365" t="str">
        <f>"078215000"</f>
        <v>078215000</v>
      </c>
      <c r="B365" t="s">
        <v>973</v>
      </c>
      <c r="C365" t="s">
        <v>1419</v>
      </c>
      <c r="D365" t="s">
        <v>1411</v>
      </c>
      <c r="E365" t="s">
        <v>1417</v>
      </c>
      <c r="F365" s="1">
        <v>45335</v>
      </c>
      <c r="G365" t="s">
        <v>1413</v>
      </c>
    </row>
    <row r="366" spans="1:7">
      <c r="A366" t="str">
        <f>"118719000"</f>
        <v>118719000</v>
      </c>
      <c r="B366" t="s">
        <v>974</v>
      </c>
      <c r="C366" t="s">
        <v>1410</v>
      </c>
      <c r="D366" t="s">
        <v>1411</v>
      </c>
      <c r="E366" t="s">
        <v>1412</v>
      </c>
      <c r="F366" s="1">
        <v>45357</v>
      </c>
      <c r="G366" t="s">
        <v>1413</v>
      </c>
    </row>
    <row r="367" spans="1:7">
      <c r="A367" t="str">
        <f>"078641000"</f>
        <v>078641000</v>
      </c>
      <c r="B367" t="s">
        <v>975</v>
      </c>
      <c r="C367" t="s">
        <v>1419</v>
      </c>
      <c r="D367" t="s">
        <v>1411</v>
      </c>
      <c r="E367" t="s">
        <v>1417</v>
      </c>
      <c r="F367" s="1">
        <v>45357</v>
      </c>
      <c r="G367" t="s">
        <v>1413</v>
      </c>
    </row>
    <row r="368" spans="1:7">
      <c r="A368" t="str">
        <f>"078409000"</f>
        <v>078409000</v>
      </c>
      <c r="B368" t="s">
        <v>976</v>
      </c>
      <c r="C368" t="s">
        <v>1419</v>
      </c>
      <c r="D368" t="s">
        <v>1411</v>
      </c>
      <c r="E368" t="s">
        <v>1412</v>
      </c>
      <c r="F368" s="1">
        <v>45351</v>
      </c>
      <c r="G368" t="s">
        <v>1413</v>
      </c>
    </row>
    <row r="369" spans="1:7">
      <c r="A369" t="str">
        <f>"078637000"</f>
        <v>078637000</v>
      </c>
      <c r="B369" t="s">
        <v>978</v>
      </c>
      <c r="C369" t="s">
        <v>1419</v>
      </c>
      <c r="D369" t="s">
        <v>1411</v>
      </c>
      <c r="E369" t="s">
        <v>1422</v>
      </c>
      <c r="F369" s="1">
        <v>45357</v>
      </c>
      <c r="G369" t="s">
        <v>1413</v>
      </c>
    </row>
    <row r="370" spans="1:7">
      <c r="A370" t="str">
        <f>"108414000"</f>
        <v>108414000</v>
      </c>
      <c r="B370" t="s">
        <v>979</v>
      </c>
      <c r="C370" t="s">
        <v>1410</v>
      </c>
      <c r="D370" t="s">
        <v>1411</v>
      </c>
      <c r="E370" t="s">
        <v>1417</v>
      </c>
      <c r="F370" s="1">
        <v>45335</v>
      </c>
      <c r="G370" t="s">
        <v>1413</v>
      </c>
    </row>
    <row r="371" spans="1:7">
      <c r="A371" t="str">
        <f>"078407000"</f>
        <v>078407000</v>
      </c>
      <c r="B371" t="s">
        <v>980</v>
      </c>
      <c r="C371" t="s">
        <v>1419</v>
      </c>
      <c r="D371" t="s">
        <v>1411</v>
      </c>
      <c r="E371" t="s">
        <v>1412</v>
      </c>
      <c r="F371" s="1">
        <v>45357</v>
      </c>
      <c r="G371" t="s">
        <v>1413</v>
      </c>
    </row>
    <row r="372" spans="1:7">
      <c r="A372" t="str">
        <f>"078415000"</f>
        <v>078415000</v>
      </c>
      <c r="B372" t="s">
        <v>981</v>
      </c>
      <c r="C372" t="s">
        <v>1419</v>
      </c>
      <c r="D372" t="s">
        <v>1411</v>
      </c>
      <c r="E372" t="s">
        <v>1415</v>
      </c>
      <c r="F372" s="1">
        <v>45356</v>
      </c>
      <c r="G372" t="s">
        <v>1413</v>
      </c>
    </row>
    <row r="373" spans="1:7">
      <c r="A373" t="str">
        <f>"118715000"</f>
        <v>118715000</v>
      </c>
      <c r="B373" t="s">
        <v>982</v>
      </c>
      <c r="C373" t="s">
        <v>1410</v>
      </c>
      <c r="D373" t="s">
        <v>1411</v>
      </c>
      <c r="E373" t="s">
        <v>1417</v>
      </c>
      <c r="F373" s="1">
        <v>45335</v>
      </c>
      <c r="G373" t="s">
        <v>1413</v>
      </c>
    </row>
    <row r="374" spans="1:7">
      <c r="A374" t="str">
        <f>"078274000"</f>
        <v>078274000</v>
      </c>
      <c r="B374" t="s">
        <v>983</v>
      </c>
      <c r="C374" t="s">
        <v>1419</v>
      </c>
      <c r="D374" t="s">
        <v>1411</v>
      </c>
      <c r="E374" t="s">
        <v>1415</v>
      </c>
      <c r="F374" s="1">
        <v>45356</v>
      </c>
      <c r="G374" t="s">
        <v>1413</v>
      </c>
    </row>
    <row r="375" spans="1:7">
      <c r="A375" t="str">
        <f>"078636000"</f>
        <v>078636000</v>
      </c>
      <c r="B375" t="s">
        <v>984</v>
      </c>
      <c r="C375" t="s">
        <v>1419</v>
      </c>
      <c r="D375" t="s">
        <v>1411</v>
      </c>
      <c r="E375" t="s">
        <v>1415</v>
      </c>
      <c r="F375" s="1">
        <v>45356</v>
      </c>
      <c r="G375" t="s">
        <v>1413</v>
      </c>
    </row>
    <row r="376" spans="1:7">
      <c r="A376" t="str">
        <f>"078420000"</f>
        <v>078420000</v>
      </c>
      <c r="B376" t="s">
        <v>985</v>
      </c>
      <c r="C376" t="s">
        <v>1410</v>
      </c>
      <c r="D376" t="s">
        <v>1411</v>
      </c>
      <c r="E376" t="s">
        <v>1417</v>
      </c>
      <c r="F376" s="1">
        <v>45335</v>
      </c>
      <c r="G376" t="s">
        <v>1413</v>
      </c>
    </row>
    <row r="377" spans="1:7">
      <c r="A377" t="str">
        <f>"108738000"</f>
        <v>108738000</v>
      </c>
      <c r="B377" t="s">
        <v>986</v>
      </c>
      <c r="C377" t="s">
        <v>1419</v>
      </c>
      <c r="D377" t="s">
        <v>1411</v>
      </c>
      <c r="E377" t="s">
        <v>1418</v>
      </c>
      <c r="F377" s="1">
        <v>45352</v>
      </c>
      <c r="G377" t="s">
        <v>1413</v>
      </c>
    </row>
    <row r="378" spans="1:7">
      <c r="A378" t="str">
        <f>"070425000"</f>
        <v>070425000</v>
      </c>
      <c r="B378" t="s">
        <v>987</v>
      </c>
      <c r="C378" t="s">
        <v>1419</v>
      </c>
      <c r="D378" t="s">
        <v>1411</v>
      </c>
      <c r="E378" t="s">
        <v>1417</v>
      </c>
      <c r="F378" s="1">
        <v>45260</v>
      </c>
      <c r="G378" t="s">
        <v>1413</v>
      </c>
    </row>
    <row r="379" spans="1:7">
      <c r="A379" t="str">
        <f>"048750000"</f>
        <v>048750000</v>
      </c>
      <c r="B379" t="s">
        <v>989</v>
      </c>
      <c r="C379" t="s">
        <v>1434</v>
      </c>
      <c r="D379" t="s">
        <v>1411</v>
      </c>
      <c r="E379" t="s">
        <v>1412</v>
      </c>
      <c r="F379" s="1">
        <v>45357</v>
      </c>
      <c r="G379" t="s">
        <v>1413</v>
      </c>
    </row>
    <row r="380" spans="1:7">
      <c r="A380" t="str">
        <f>"138787000"</f>
        <v>138787000</v>
      </c>
      <c r="B380" t="s">
        <v>990</v>
      </c>
      <c r="C380" t="s">
        <v>1420</v>
      </c>
      <c r="D380" t="s">
        <v>1411</v>
      </c>
      <c r="E380" t="s">
        <v>1417</v>
      </c>
      <c r="F380" s="1">
        <v>45335</v>
      </c>
      <c r="G380" t="s">
        <v>1413</v>
      </c>
    </row>
    <row r="381" spans="1:7">
      <c r="A381" t="str">
        <f>"078784000"</f>
        <v>078784000</v>
      </c>
      <c r="B381" t="s">
        <v>991</v>
      </c>
      <c r="C381" t="s">
        <v>1419</v>
      </c>
      <c r="D381" t="s">
        <v>1411</v>
      </c>
      <c r="E381" t="s">
        <v>1412</v>
      </c>
      <c r="F381" s="1">
        <v>45356</v>
      </c>
      <c r="G381" t="s">
        <v>1413</v>
      </c>
    </row>
    <row r="382" spans="1:7">
      <c r="A382" t="str">
        <f>"078235000"</f>
        <v>078235000</v>
      </c>
      <c r="B382" t="s">
        <v>993</v>
      </c>
      <c r="C382" t="s">
        <v>1419</v>
      </c>
      <c r="D382" t="s">
        <v>1411</v>
      </c>
      <c r="E382" t="s">
        <v>1426</v>
      </c>
      <c r="F382" s="1">
        <v>45355</v>
      </c>
      <c r="G382" t="s">
        <v>1413</v>
      </c>
    </row>
    <row r="383" spans="1:7">
      <c r="A383" t="str">
        <f>"070479000"</f>
        <v>070479000</v>
      </c>
      <c r="B383" t="s">
        <v>994</v>
      </c>
      <c r="C383" t="s">
        <v>1419</v>
      </c>
      <c r="D383" t="s">
        <v>1411</v>
      </c>
      <c r="E383" t="s">
        <v>1417</v>
      </c>
      <c r="F383" s="1">
        <v>45272</v>
      </c>
      <c r="G383" t="s">
        <v>1413</v>
      </c>
    </row>
    <row r="384" spans="1:7">
      <c r="A384" t="str">
        <f>"078997000"</f>
        <v>078997000</v>
      </c>
      <c r="B384" t="s">
        <v>995</v>
      </c>
      <c r="C384" t="s">
        <v>1419</v>
      </c>
      <c r="D384" t="s">
        <v>1411</v>
      </c>
      <c r="E384" t="s">
        <v>1426</v>
      </c>
      <c r="F384" s="1">
        <v>45337</v>
      </c>
      <c r="G384" t="s">
        <v>1413</v>
      </c>
    </row>
    <row r="385" spans="1:7">
      <c r="A385" t="str">
        <f>"080209000"</f>
        <v>080209000</v>
      </c>
      <c r="B385" t="s">
        <v>996</v>
      </c>
      <c r="C385" t="s">
        <v>1416</v>
      </c>
      <c r="D385" t="s">
        <v>1411</v>
      </c>
      <c r="E385" t="s">
        <v>1417</v>
      </c>
      <c r="F385" s="1">
        <v>45302</v>
      </c>
      <c r="G385" t="s">
        <v>1413</v>
      </c>
    </row>
    <row r="386" spans="1:7">
      <c r="A386" t="str">
        <f>"070465000"</f>
        <v>070465000</v>
      </c>
      <c r="B386" t="s">
        <v>997</v>
      </c>
      <c r="C386" t="s">
        <v>1419</v>
      </c>
      <c r="D386" t="s">
        <v>1411</v>
      </c>
      <c r="E386" t="s">
        <v>1412</v>
      </c>
      <c r="F386" s="1">
        <v>45357</v>
      </c>
      <c r="G386" t="s">
        <v>1413</v>
      </c>
    </row>
    <row r="387" spans="1:7">
      <c r="A387" t="str">
        <f>"070438000"</f>
        <v>070438000</v>
      </c>
      <c r="B387" t="s">
        <v>998</v>
      </c>
      <c r="C387" t="s">
        <v>1419</v>
      </c>
      <c r="D387" t="s">
        <v>1411</v>
      </c>
      <c r="E387" t="s">
        <v>1417</v>
      </c>
      <c r="F387" s="1">
        <v>45275</v>
      </c>
      <c r="G387" t="s">
        <v>1413</v>
      </c>
    </row>
    <row r="388" spans="1:7">
      <c r="A388" t="str">
        <f>"078419000"</f>
        <v>078419000</v>
      </c>
      <c r="B388" t="s">
        <v>1000</v>
      </c>
      <c r="C388" t="s">
        <v>1419</v>
      </c>
      <c r="D388" t="s">
        <v>1411</v>
      </c>
      <c r="E388" t="s">
        <v>1417</v>
      </c>
      <c r="F388" s="1">
        <v>45183</v>
      </c>
      <c r="G388" t="s">
        <v>1413</v>
      </c>
    </row>
    <row r="389" spans="1:7">
      <c r="A389" t="str">
        <f>"078219000"</f>
        <v>078219000</v>
      </c>
      <c r="B389" t="s">
        <v>1002</v>
      </c>
      <c r="C389" t="s">
        <v>1419</v>
      </c>
      <c r="D389" t="s">
        <v>1411</v>
      </c>
      <c r="E389" t="s">
        <v>1417</v>
      </c>
      <c r="F389" s="1">
        <v>45211</v>
      </c>
      <c r="G389" t="s">
        <v>1413</v>
      </c>
    </row>
    <row r="390" spans="1:7">
      <c r="A390" t="str">
        <f>"030310000"</f>
        <v>030310000</v>
      </c>
      <c r="B390" t="s">
        <v>1003</v>
      </c>
      <c r="C390" t="s">
        <v>1430</v>
      </c>
      <c r="D390" t="s">
        <v>1411</v>
      </c>
      <c r="E390" t="s">
        <v>1412</v>
      </c>
      <c r="F390" s="1">
        <v>45356</v>
      </c>
      <c r="G390" t="s">
        <v>1413</v>
      </c>
    </row>
    <row r="391" spans="1:7">
      <c r="A391" t="str">
        <f>"110208000"</f>
        <v>110208000</v>
      </c>
      <c r="B391" t="s">
        <v>1004</v>
      </c>
      <c r="C391" t="s">
        <v>1410</v>
      </c>
      <c r="D391" t="s">
        <v>1411</v>
      </c>
      <c r="E391" t="s">
        <v>1415</v>
      </c>
      <c r="F391" s="1">
        <v>45355</v>
      </c>
      <c r="G391" t="s">
        <v>1413</v>
      </c>
    </row>
    <row r="392" spans="1:7">
      <c r="A392" t="str">
        <f>"100206000"</f>
        <v>100206000</v>
      </c>
      <c r="B392" t="s">
        <v>1005</v>
      </c>
      <c r="C392" t="s">
        <v>1414</v>
      </c>
      <c r="D392" t="s">
        <v>1411</v>
      </c>
      <c r="E392" t="s">
        <v>1412</v>
      </c>
      <c r="F392" s="1">
        <v>45340</v>
      </c>
      <c r="G392" t="s">
        <v>1413</v>
      </c>
    </row>
    <row r="393" spans="1:7">
      <c r="A393" t="str">
        <f>"078647000"</f>
        <v>078647000</v>
      </c>
      <c r="B393" t="s">
        <v>1007</v>
      </c>
      <c r="C393" t="s">
        <v>1419</v>
      </c>
      <c r="D393" t="s">
        <v>1411</v>
      </c>
      <c r="E393" t="s">
        <v>1412</v>
      </c>
      <c r="F393" s="1">
        <v>45340</v>
      </c>
      <c r="G393" t="s">
        <v>1413</v>
      </c>
    </row>
    <row r="394" spans="1:7">
      <c r="A394" t="str">
        <f>"071004000"</f>
        <v>071004000</v>
      </c>
      <c r="B394" t="s">
        <v>1009</v>
      </c>
      <c r="C394" t="s">
        <v>1419</v>
      </c>
      <c r="D394" t="s">
        <v>1411</v>
      </c>
      <c r="E394" t="s">
        <v>1412</v>
      </c>
      <c r="F394" s="1">
        <v>45336</v>
      </c>
      <c r="G394" t="s">
        <v>1413</v>
      </c>
    </row>
    <row r="395" spans="1:7">
      <c r="A395" t="str">
        <f>"070199000"</f>
        <v>070199000</v>
      </c>
      <c r="B395" t="s">
        <v>1011</v>
      </c>
      <c r="C395" t="s">
        <v>1419</v>
      </c>
      <c r="D395" t="s">
        <v>1411</v>
      </c>
      <c r="E395" t="s">
        <v>1418</v>
      </c>
      <c r="F395" s="1">
        <v>45336</v>
      </c>
      <c r="G395" t="s">
        <v>1413</v>
      </c>
    </row>
    <row r="396" spans="1:7">
      <c r="A396" t="str">
        <f>"076008000"</f>
        <v>076008000</v>
      </c>
      <c r="B396" t="s">
        <v>1013</v>
      </c>
      <c r="C396" t="s">
        <v>1419</v>
      </c>
      <c r="D396" t="s">
        <v>1411</v>
      </c>
      <c r="E396" t="s">
        <v>1412</v>
      </c>
      <c r="F396" s="1">
        <v>45351</v>
      </c>
      <c r="G396" t="s">
        <v>1413</v>
      </c>
    </row>
    <row r="397" spans="1:7">
      <c r="A397" t="str">
        <f>"110220000"</f>
        <v>110220000</v>
      </c>
      <c r="B397" t="s">
        <v>1014</v>
      </c>
      <c r="C397" t="s">
        <v>1410</v>
      </c>
      <c r="D397" t="s">
        <v>1411</v>
      </c>
      <c r="E397" t="s">
        <v>1422</v>
      </c>
      <c r="F397" s="1">
        <v>45358</v>
      </c>
      <c r="G397" t="s">
        <v>1413</v>
      </c>
    </row>
    <row r="398" spans="1:7">
      <c r="A398" t="str">
        <f>"110100000"</f>
        <v>110100000</v>
      </c>
      <c r="B398" t="s">
        <v>1015</v>
      </c>
      <c r="C398" t="s">
        <v>1410</v>
      </c>
      <c r="D398" t="s">
        <v>1411</v>
      </c>
      <c r="E398" t="s">
        <v>1421</v>
      </c>
      <c r="F398" s="1">
        <v>45336</v>
      </c>
      <c r="G398" t="s">
        <v>1413</v>
      </c>
    </row>
    <row r="399" spans="1:7">
      <c r="A399" t="str">
        <f>"138757000"</f>
        <v>138757000</v>
      </c>
      <c r="B399" t="s">
        <v>1017</v>
      </c>
      <c r="C399" t="s">
        <v>1420</v>
      </c>
      <c r="D399" t="s">
        <v>1411</v>
      </c>
      <c r="E399" t="s">
        <v>1412</v>
      </c>
      <c r="F399" s="1">
        <v>45356</v>
      </c>
      <c r="G399" t="s">
        <v>1413</v>
      </c>
    </row>
    <row r="400" spans="1:7">
      <c r="A400" t="str">
        <f>"078592000"</f>
        <v>078592000</v>
      </c>
      <c r="B400" t="s">
        <v>1018</v>
      </c>
      <c r="C400" t="s">
        <v>1419</v>
      </c>
      <c r="D400" t="s">
        <v>1411</v>
      </c>
      <c r="E400" t="s">
        <v>1426</v>
      </c>
      <c r="F400" s="1">
        <v>45355</v>
      </c>
      <c r="G400" t="s">
        <v>1413</v>
      </c>
    </row>
    <row r="401" spans="1:7">
      <c r="A401" t="str">
        <f>"088759000"</f>
        <v>088759000</v>
      </c>
      <c r="B401" t="s">
        <v>1019</v>
      </c>
      <c r="C401" t="s">
        <v>1416</v>
      </c>
      <c r="D401" t="s">
        <v>1411</v>
      </c>
      <c r="E401" t="s">
        <v>1426</v>
      </c>
      <c r="F401" s="1">
        <v>45356</v>
      </c>
      <c r="G401" t="s">
        <v>1413</v>
      </c>
    </row>
    <row r="402" spans="1:7">
      <c r="A402" t="str">
        <f>"108798000"</f>
        <v>108798000</v>
      </c>
      <c r="B402" t="s">
        <v>1020</v>
      </c>
      <c r="C402" t="s">
        <v>1414</v>
      </c>
      <c r="D402" t="s">
        <v>1411</v>
      </c>
      <c r="E402" t="s">
        <v>1417</v>
      </c>
      <c r="F402" s="1">
        <v>45335</v>
      </c>
      <c r="G402" t="s">
        <v>1413</v>
      </c>
    </row>
    <row r="403" spans="1:7">
      <c r="A403" t="str">
        <f>"130243000"</f>
        <v>130243000</v>
      </c>
      <c r="B403" t="s">
        <v>1021</v>
      </c>
      <c r="C403" t="s">
        <v>1420</v>
      </c>
      <c r="D403" t="s">
        <v>1411</v>
      </c>
      <c r="E403" t="s">
        <v>1422</v>
      </c>
      <c r="F403" s="1">
        <v>45357</v>
      </c>
      <c r="G403" t="s">
        <v>1413</v>
      </c>
    </row>
    <row r="404" spans="1:7">
      <c r="A404" t="str">
        <f>"078743000"</f>
        <v>078743000</v>
      </c>
      <c r="B404" t="s">
        <v>1023</v>
      </c>
      <c r="C404" t="s">
        <v>1419</v>
      </c>
      <c r="D404" t="s">
        <v>1411</v>
      </c>
      <c r="E404" t="s">
        <v>1412</v>
      </c>
      <c r="F404" s="1">
        <v>45356</v>
      </c>
      <c r="G404" t="s">
        <v>1413</v>
      </c>
    </row>
    <row r="405" spans="1:7">
      <c r="A405" t="str">
        <f>"010323000"</f>
        <v>010323000</v>
      </c>
      <c r="B405" t="s">
        <v>1024</v>
      </c>
      <c r="C405" t="s">
        <v>1424</v>
      </c>
      <c r="D405" t="s">
        <v>1411</v>
      </c>
      <c r="E405" t="s">
        <v>1412</v>
      </c>
      <c r="F405" s="1">
        <v>45359</v>
      </c>
      <c r="G405" t="s">
        <v>1413</v>
      </c>
    </row>
    <row r="406" spans="1:7">
      <c r="A406" t="str">
        <f>"020355000"</f>
        <v>020355000</v>
      </c>
      <c r="B406" t="s">
        <v>1025</v>
      </c>
      <c r="C406" t="s">
        <v>1428</v>
      </c>
      <c r="D406" t="s">
        <v>1411</v>
      </c>
      <c r="E406" t="s">
        <v>1412</v>
      </c>
      <c r="F406" s="1">
        <v>45338</v>
      </c>
      <c r="G406" t="s">
        <v>1413</v>
      </c>
    </row>
    <row r="407" spans="1:7">
      <c r="A407" t="str">
        <f>"070204000"</f>
        <v>070204000</v>
      </c>
      <c r="B407" t="s">
        <v>1026</v>
      </c>
      <c r="C407" t="s">
        <v>1419</v>
      </c>
      <c r="D407" t="s">
        <v>1411</v>
      </c>
      <c r="E407" t="s">
        <v>1415</v>
      </c>
      <c r="F407" s="1">
        <v>45355</v>
      </c>
      <c r="G407" t="s">
        <v>1413</v>
      </c>
    </row>
    <row r="408" spans="1:7">
      <c r="A408" t="str">
        <f>"078906000"</f>
        <v>078906000</v>
      </c>
      <c r="B408" t="s">
        <v>1028</v>
      </c>
      <c r="C408" t="s">
        <v>1419</v>
      </c>
      <c r="D408" t="s">
        <v>1411</v>
      </c>
      <c r="E408" t="s">
        <v>1412</v>
      </c>
      <c r="F408" s="1">
        <v>45351</v>
      </c>
      <c r="G408" t="s">
        <v>1413</v>
      </c>
    </row>
    <row r="409" spans="1:7">
      <c r="A409" t="str">
        <f>"128703000"</f>
        <v>128703000</v>
      </c>
      <c r="B409" t="s">
        <v>1029</v>
      </c>
      <c r="C409" t="s">
        <v>1436</v>
      </c>
      <c r="D409" t="s">
        <v>1411</v>
      </c>
      <c r="E409" t="s">
        <v>1412</v>
      </c>
      <c r="F409" s="1">
        <v>45355</v>
      </c>
      <c r="G409" t="s">
        <v>1413</v>
      </c>
    </row>
    <row r="410" spans="1:7">
      <c r="A410" t="str">
        <f>"040240000"</f>
        <v>040240000</v>
      </c>
      <c r="B410" t="s">
        <v>1030</v>
      </c>
      <c r="C410" t="s">
        <v>1434</v>
      </c>
      <c r="D410" t="s">
        <v>1411</v>
      </c>
      <c r="E410" t="s">
        <v>1412</v>
      </c>
      <c r="F410" s="1">
        <v>45349</v>
      </c>
      <c r="G410" t="s">
        <v>1413</v>
      </c>
    </row>
    <row r="411" spans="1:7">
      <c r="A411" t="str">
        <f>"078976000"</f>
        <v>078976000</v>
      </c>
      <c r="B411" t="s">
        <v>1031</v>
      </c>
      <c r="C411" t="s">
        <v>1419</v>
      </c>
      <c r="D411" t="s">
        <v>1411</v>
      </c>
      <c r="E411" t="s">
        <v>1415</v>
      </c>
      <c r="F411" s="1">
        <v>45351</v>
      </c>
      <c r="G411" t="s">
        <v>1413</v>
      </c>
    </row>
    <row r="412" spans="1:7">
      <c r="A412" t="str">
        <f>"078791000"</f>
        <v>078791000</v>
      </c>
      <c r="B412" t="s">
        <v>1032</v>
      </c>
      <c r="C412" t="s">
        <v>1419</v>
      </c>
      <c r="D412" t="s">
        <v>1411</v>
      </c>
      <c r="E412" t="s">
        <v>1417</v>
      </c>
      <c r="F412" s="1">
        <v>45335</v>
      </c>
      <c r="G412" t="s">
        <v>1413</v>
      </c>
    </row>
    <row r="413" spans="1:7">
      <c r="A413" t="str">
        <f>"138712000"</f>
        <v>138712000</v>
      </c>
      <c r="B413" t="s">
        <v>1033</v>
      </c>
      <c r="C413" t="s">
        <v>1420</v>
      </c>
      <c r="D413" t="s">
        <v>1411</v>
      </c>
      <c r="E413" t="s">
        <v>1417</v>
      </c>
      <c r="F413" s="1">
        <v>45335</v>
      </c>
      <c r="G413" t="s">
        <v>1413</v>
      </c>
    </row>
    <row r="414" spans="1:7">
      <c r="A414" t="str">
        <f>"130504000"</f>
        <v>130504000</v>
      </c>
      <c r="B414" t="s">
        <v>1035</v>
      </c>
      <c r="C414" t="s">
        <v>1420</v>
      </c>
      <c r="D414" t="s">
        <v>1411</v>
      </c>
      <c r="E414" t="s">
        <v>1412</v>
      </c>
      <c r="F414" s="1">
        <v>45356</v>
      </c>
      <c r="G414" t="s">
        <v>1413</v>
      </c>
    </row>
    <row r="415" spans="1:7">
      <c r="A415" t="str">
        <f>"070386000"</f>
        <v>070386000</v>
      </c>
      <c r="B415" t="s">
        <v>1036</v>
      </c>
      <c r="C415" t="s">
        <v>1419</v>
      </c>
      <c r="D415" t="s">
        <v>1411</v>
      </c>
      <c r="E415" t="s">
        <v>1417</v>
      </c>
      <c r="F415" s="1">
        <v>45335</v>
      </c>
      <c r="G415" t="s">
        <v>1413</v>
      </c>
    </row>
    <row r="416" spans="1:7">
      <c r="A416" t="str">
        <f>"088703000"</f>
        <v>088703000</v>
      </c>
      <c r="B416" t="s">
        <v>1037</v>
      </c>
      <c r="C416" t="s">
        <v>1416</v>
      </c>
      <c r="D416" t="s">
        <v>1411</v>
      </c>
      <c r="E416" t="s">
        <v>1417</v>
      </c>
      <c r="F416" s="1">
        <v>45197</v>
      </c>
      <c r="G416" t="s">
        <v>1413</v>
      </c>
    </row>
    <row r="417" spans="1:7">
      <c r="A417" t="str">
        <f>"088758000"</f>
        <v>088758000</v>
      </c>
      <c r="B417" t="s">
        <v>1039</v>
      </c>
      <c r="C417" t="s">
        <v>1416</v>
      </c>
      <c r="D417" t="s">
        <v>1411</v>
      </c>
      <c r="E417" t="s">
        <v>1417</v>
      </c>
      <c r="F417" s="1">
        <v>45335</v>
      </c>
      <c r="G417" t="s">
        <v>1413</v>
      </c>
    </row>
    <row r="418" spans="1:7">
      <c r="A418" t="str">
        <f>"211019000"</f>
        <v>211019000</v>
      </c>
      <c r="B418" t="s">
        <v>1041</v>
      </c>
      <c r="C418" t="s">
        <v>1416</v>
      </c>
      <c r="D418" t="s">
        <v>1411</v>
      </c>
      <c r="E418" t="s">
        <v>1412</v>
      </c>
      <c r="F418" s="1">
        <v>45252</v>
      </c>
      <c r="G418" t="s">
        <v>1413</v>
      </c>
    </row>
    <row r="419" spans="1:7">
      <c r="A419" t="str">
        <f>"086009000"</f>
        <v>086009000</v>
      </c>
      <c r="B419" t="s">
        <v>1043</v>
      </c>
      <c r="C419" t="s">
        <v>1416</v>
      </c>
      <c r="D419" t="s">
        <v>1411</v>
      </c>
      <c r="E419" t="s">
        <v>1412</v>
      </c>
      <c r="F419" s="1">
        <v>45245</v>
      </c>
      <c r="G419" t="s">
        <v>1423</v>
      </c>
    </row>
    <row r="420" spans="1:7">
      <c r="A420" t="str">
        <f>"080416000"</f>
        <v>080416000</v>
      </c>
      <c r="B420" t="s">
        <v>1044</v>
      </c>
      <c r="C420" t="s">
        <v>1416</v>
      </c>
      <c r="D420" t="s">
        <v>1411</v>
      </c>
      <c r="E420" t="s">
        <v>1422</v>
      </c>
      <c r="F420" s="1">
        <v>45359</v>
      </c>
      <c r="G420" t="s">
        <v>1413</v>
      </c>
    </row>
    <row r="421" spans="1:7">
      <c r="A421" t="str">
        <f>"140417000"</f>
        <v>140417000</v>
      </c>
      <c r="B421" t="s">
        <v>1045</v>
      </c>
      <c r="C421" t="s">
        <v>1425</v>
      </c>
      <c r="D421" t="s">
        <v>1411</v>
      </c>
      <c r="E421" t="s">
        <v>1417</v>
      </c>
      <c r="F421" s="1">
        <v>45237</v>
      </c>
      <c r="G421" t="s">
        <v>1413</v>
      </c>
    </row>
    <row r="422" spans="1:7">
      <c r="A422" t="str">
        <f>"078977000"</f>
        <v>078977000</v>
      </c>
      <c r="B422" t="s">
        <v>1046</v>
      </c>
      <c r="C422" t="s">
        <v>1419</v>
      </c>
      <c r="D422" t="s">
        <v>1411</v>
      </c>
      <c r="E422" t="s">
        <v>1417</v>
      </c>
      <c r="F422" s="1">
        <v>45335</v>
      </c>
      <c r="G422" t="s">
        <v>1413</v>
      </c>
    </row>
    <row r="423" spans="1:7">
      <c r="A423" t="str">
        <f>"078758000"</f>
        <v>078758000</v>
      </c>
      <c r="B423" t="s">
        <v>1047</v>
      </c>
      <c r="C423" t="s">
        <v>1419</v>
      </c>
      <c r="D423" t="s">
        <v>1411</v>
      </c>
      <c r="E423" t="s">
        <v>1417</v>
      </c>
      <c r="F423" s="1">
        <v>45335</v>
      </c>
      <c r="G423" t="s">
        <v>1413</v>
      </c>
    </row>
    <row r="424" spans="1:7">
      <c r="A424" t="str">
        <f>"078763000"</f>
        <v>078763000</v>
      </c>
      <c r="B424" t="s">
        <v>1048</v>
      </c>
      <c r="C424" t="s">
        <v>1419</v>
      </c>
      <c r="D424" t="s">
        <v>1411</v>
      </c>
      <c r="E424" t="s">
        <v>1412</v>
      </c>
      <c r="F424" s="1">
        <v>45341</v>
      </c>
      <c r="G424" t="s">
        <v>1413</v>
      </c>
    </row>
    <row r="425" spans="1:7">
      <c r="A425" t="str">
        <f>"060218000"</f>
        <v>060218000</v>
      </c>
      <c r="B425" t="s">
        <v>1049</v>
      </c>
      <c r="C425" t="s">
        <v>1435</v>
      </c>
      <c r="D425" t="s">
        <v>1411</v>
      </c>
      <c r="E425" t="s">
        <v>1417</v>
      </c>
      <c r="F425" s="1">
        <v>45335</v>
      </c>
      <c r="G425" t="s">
        <v>1413</v>
      </c>
    </row>
    <row r="426" spans="1:7">
      <c r="A426" t="str">
        <f>"078640000"</f>
        <v>078640000</v>
      </c>
      <c r="B426" t="s">
        <v>1050</v>
      </c>
      <c r="C426" t="s">
        <v>1419</v>
      </c>
      <c r="D426" t="s">
        <v>1411</v>
      </c>
      <c r="E426" t="s">
        <v>1417</v>
      </c>
      <c r="F426" s="1">
        <v>45335</v>
      </c>
      <c r="G426" t="s">
        <v>1413</v>
      </c>
    </row>
    <row r="427" spans="1:7">
      <c r="A427" t="str">
        <f>"078556000"</f>
        <v>078556000</v>
      </c>
      <c r="B427" t="s">
        <v>1050</v>
      </c>
      <c r="C427" t="s">
        <v>1419</v>
      </c>
      <c r="D427" t="s">
        <v>1411</v>
      </c>
      <c r="E427" t="s">
        <v>1417</v>
      </c>
      <c r="F427" s="1">
        <v>45335</v>
      </c>
      <c r="G427" t="s">
        <v>1413</v>
      </c>
    </row>
    <row r="428" spans="1:7">
      <c r="A428" t="str">
        <f>"070375000"</f>
        <v>070375000</v>
      </c>
      <c r="B428" t="s">
        <v>1051</v>
      </c>
      <c r="C428" t="s">
        <v>1419</v>
      </c>
      <c r="D428" t="s">
        <v>1411</v>
      </c>
      <c r="E428" t="s">
        <v>1418</v>
      </c>
      <c r="F428" s="1">
        <v>45349</v>
      </c>
      <c r="G428" t="s">
        <v>1413</v>
      </c>
    </row>
    <row r="429" spans="1:7">
      <c r="A429" t="str">
        <f>"138768000"</f>
        <v>138768000</v>
      </c>
      <c r="B429" t="s">
        <v>1052</v>
      </c>
      <c r="C429" t="s">
        <v>1420</v>
      </c>
      <c r="D429" t="s">
        <v>1411</v>
      </c>
      <c r="E429" t="s">
        <v>1422</v>
      </c>
      <c r="F429" s="1">
        <v>45359</v>
      </c>
      <c r="G429" t="s">
        <v>1423</v>
      </c>
    </row>
    <row r="430" spans="1:7">
      <c r="A430" t="str">
        <f>"038751000"</f>
        <v>038751000</v>
      </c>
      <c r="B430" t="s">
        <v>1053</v>
      </c>
      <c r="C430" t="s">
        <v>1430</v>
      </c>
      <c r="D430" t="s">
        <v>1411</v>
      </c>
      <c r="E430" t="s">
        <v>1415</v>
      </c>
      <c r="F430" s="1">
        <v>45355</v>
      </c>
      <c r="G430" t="s">
        <v>1413</v>
      </c>
    </row>
    <row r="431" spans="1:7">
      <c r="A431" t="str">
        <f>"070421000"</f>
        <v>070421000</v>
      </c>
      <c r="B431" t="s">
        <v>1054</v>
      </c>
      <c r="C431" t="s">
        <v>1419</v>
      </c>
      <c r="D431" t="s">
        <v>1411</v>
      </c>
      <c r="E431" t="s">
        <v>1422</v>
      </c>
      <c r="F431" s="1">
        <v>45359</v>
      </c>
      <c r="G431" t="s">
        <v>1413</v>
      </c>
    </row>
    <row r="432" spans="1:7">
      <c r="A432" t="str">
        <f>"020323000"</f>
        <v>020323000</v>
      </c>
      <c r="B432" t="s">
        <v>1055</v>
      </c>
      <c r="C432" t="s">
        <v>1428</v>
      </c>
      <c r="D432" t="s">
        <v>1411</v>
      </c>
      <c r="E432" t="s">
        <v>1417</v>
      </c>
      <c r="F432" s="1">
        <v>45335</v>
      </c>
      <c r="G432" t="s">
        <v>1413</v>
      </c>
    </row>
    <row r="433" spans="1:7">
      <c r="A433" t="str">
        <f>"070281000"</f>
        <v>070281000</v>
      </c>
      <c r="B433" t="s">
        <v>1056</v>
      </c>
      <c r="C433" t="s">
        <v>1419</v>
      </c>
      <c r="D433" t="s">
        <v>1411</v>
      </c>
      <c r="E433" t="s">
        <v>1422</v>
      </c>
      <c r="F433" s="1">
        <v>45358</v>
      </c>
      <c r="G433" t="s">
        <v>1413</v>
      </c>
    </row>
    <row r="434" spans="1:7">
      <c r="A434" t="str">
        <f>"090199000"</f>
        <v>090199000</v>
      </c>
      <c r="B434" t="s">
        <v>1058</v>
      </c>
      <c r="C434" t="s">
        <v>1432</v>
      </c>
      <c r="D434" t="s">
        <v>1411</v>
      </c>
      <c r="E434" t="s">
        <v>1417</v>
      </c>
      <c r="F434" s="1">
        <v>45230</v>
      </c>
      <c r="G434" t="s">
        <v>1413</v>
      </c>
    </row>
    <row r="435" spans="1:7">
      <c r="A435" t="str">
        <f>"096010000"</f>
        <v>096010000</v>
      </c>
      <c r="B435" t="s">
        <v>1060</v>
      </c>
      <c r="C435" t="s">
        <v>1432</v>
      </c>
      <c r="D435" t="s">
        <v>1411</v>
      </c>
      <c r="E435" t="s">
        <v>1417</v>
      </c>
      <c r="F435" s="1">
        <v>45335</v>
      </c>
      <c r="G435" t="s">
        <v>1413</v>
      </c>
    </row>
    <row r="436" spans="1:7">
      <c r="A436" t="str">
        <f>"078771000"</f>
        <v>078771000</v>
      </c>
      <c r="B436" t="s">
        <v>1061</v>
      </c>
      <c r="C436" t="s">
        <v>1419</v>
      </c>
      <c r="D436" t="s">
        <v>1411</v>
      </c>
      <c r="E436" t="s">
        <v>1412</v>
      </c>
      <c r="F436" s="1">
        <v>45355</v>
      </c>
      <c r="G436" t="s">
        <v>1413</v>
      </c>
    </row>
    <row r="437" spans="1:7">
      <c r="A437" t="str">
        <f>"078692000"</f>
        <v>078692000</v>
      </c>
      <c r="B437" t="s">
        <v>1062</v>
      </c>
      <c r="C437" t="s">
        <v>1419</v>
      </c>
      <c r="D437" t="s">
        <v>1411</v>
      </c>
      <c r="E437" t="s">
        <v>1417</v>
      </c>
      <c r="F437" s="1">
        <v>45335</v>
      </c>
      <c r="G437" t="s">
        <v>1413</v>
      </c>
    </row>
    <row r="438" spans="1:7">
      <c r="A438" t="str">
        <f>"078981000"</f>
        <v>078981000</v>
      </c>
      <c r="B438" t="s">
        <v>1064</v>
      </c>
      <c r="C438" t="s">
        <v>1419</v>
      </c>
      <c r="D438" t="s">
        <v>1411</v>
      </c>
      <c r="E438" t="s">
        <v>1426</v>
      </c>
      <c r="F438" s="1">
        <v>45358</v>
      </c>
      <c r="G438" t="s">
        <v>1413</v>
      </c>
    </row>
    <row r="439" spans="1:7">
      <c r="A439" t="str">
        <f>"078903000"</f>
        <v>078903000</v>
      </c>
      <c r="B439" t="s">
        <v>1066</v>
      </c>
      <c r="C439" t="s">
        <v>1419</v>
      </c>
      <c r="D439" t="s">
        <v>1411</v>
      </c>
      <c r="E439" t="s">
        <v>1412</v>
      </c>
      <c r="F439" s="1">
        <v>45355</v>
      </c>
      <c r="G439" t="s">
        <v>1413</v>
      </c>
    </row>
    <row r="440" spans="1:7">
      <c r="A440" t="str">
        <f>"078760000"</f>
        <v>078760000</v>
      </c>
      <c r="B440" t="s">
        <v>1067</v>
      </c>
      <c r="C440" t="s">
        <v>1419</v>
      </c>
      <c r="D440" t="s">
        <v>1411</v>
      </c>
      <c r="E440" t="s">
        <v>1418</v>
      </c>
      <c r="F440" s="1">
        <v>45342</v>
      </c>
      <c r="G440" t="s">
        <v>1413</v>
      </c>
    </row>
    <row r="441" spans="1:7">
      <c r="A441" t="str">
        <f>"078930000"</f>
        <v>078930000</v>
      </c>
      <c r="B441" t="s">
        <v>1068</v>
      </c>
      <c r="C441" t="s">
        <v>1419</v>
      </c>
      <c r="D441" t="s">
        <v>1411</v>
      </c>
      <c r="E441" t="s">
        <v>1415</v>
      </c>
      <c r="F441" s="1">
        <v>45351</v>
      </c>
      <c r="G441" t="s">
        <v>1413</v>
      </c>
    </row>
    <row r="442" spans="1:7">
      <c r="A442" t="str">
        <f>"078261000"</f>
        <v>078261000</v>
      </c>
      <c r="B442" t="s">
        <v>1069</v>
      </c>
      <c r="C442" t="s">
        <v>1419</v>
      </c>
      <c r="D442" t="s">
        <v>1411</v>
      </c>
      <c r="E442" t="s">
        <v>1415</v>
      </c>
      <c r="F442" s="1">
        <v>45351</v>
      </c>
      <c r="G442" t="s">
        <v>1413</v>
      </c>
    </row>
    <row r="443" spans="1:7">
      <c r="A443" t="str">
        <f>"120201000"</f>
        <v>120201000</v>
      </c>
      <c r="B443" t="s">
        <v>1070</v>
      </c>
      <c r="C443" t="s">
        <v>1436</v>
      </c>
      <c r="D443" t="s">
        <v>1411</v>
      </c>
      <c r="E443" t="s">
        <v>1412</v>
      </c>
      <c r="F443" s="1">
        <v>45357</v>
      </c>
      <c r="G443" t="s">
        <v>1413</v>
      </c>
    </row>
    <row r="444" spans="1:7">
      <c r="A444" t="str">
        <f>"078584000"</f>
        <v>078584000</v>
      </c>
      <c r="B444" t="s">
        <v>1072</v>
      </c>
      <c r="C444" t="s">
        <v>1419</v>
      </c>
      <c r="D444" t="s">
        <v>1411</v>
      </c>
      <c r="E444" t="s">
        <v>1426</v>
      </c>
      <c r="F444" s="1">
        <v>45355</v>
      </c>
      <c r="G444" t="s">
        <v>1413</v>
      </c>
    </row>
    <row r="445" spans="1:7">
      <c r="A445" t="str">
        <f>"078945000"</f>
        <v>078945000</v>
      </c>
      <c r="B445" t="s">
        <v>1074</v>
      </c>
      <c r="C445" t="s">
        <v>1419</v>
      </c>
      <c r="D445" t="s">
        <v>1411</v>
      </c>
      <c r="E445" t="s">
        <v>1412</v>
      </c>
      <c r="F445" s="1">
        <v>45349</v>
      </c>
      <c r="G445" t="s">
        <v>1413</v>
      </c>
    </row>
    <row r="446" spans="1:7">
      <c r="A446" t="str">
        <f>"038701000"</f>
        <v>038701000</v>
      </c>
      <c r="B446" t="s">
        <v>1076</v>
      </c>
      <c r="C446" t="s">
        <v>1430</v>
      </c>
      <c r="D446" t="s">
        <v>1411</v>
      </c>
      <c r="E446" t="s">
        <v>1412</v>
      </c>
      <c r="F446" s="1">
        <v>45359</v>
      </c>
      <c r="G446" t="s">
        <v>1413</v>
      </c>
    </row>
    <row r="447" spans="1:7">
      <c r="A447" t="str">
        <f>"108707000"</f>
        <v>108707000</v>
      </c>
      <c r="B447" t="s">
        <v>1077</v>
      </c>
      <c r="C447" t="s">
        <v>1414</v>
      </c>
      <c r="D447" t="s">
        <v>1411</v>
      </c>
      <c r="E447" t="s">
        <v>1412</v>
      </c>
      <c r="F447" s="1">
        <v>45357</v>
      </c>
      <c r="G447" t="s">
        <v>1413</v>
      </c>
    </row>
    <row r="448" spans="1:7">
      <c r="A448" t="str">
        <f>"028751000"</f>
        <v>028751000</v>
      </c>
      <c r="B448" t="s">
        <v>1078</v>
      </c>
      <c r="C448" t="s">
        <v>1428</v>
      </c>
      <c r="D448" t="s">
        <v>1411</v>
      </c>
      <c r="E448" t="s">
        <v>1417</v>
      </c>
      <c r="F448" s="1">
        <v>45273</v>
      </c>
      <c r="G448" t="s">
        <v>1413</v>
      </c>
    </row>
    <row r="449" spans="1:7">
      <c r="A449" t="str">
        <f>"108604000"</f>
        <v>108604000</v>
      </c>
      <c r="B449" t="s">
        <v>1080</v>
      </c>
      <c r="C449" t="s">
        <v>1414</v>
      </c>
      <c r="D449" t="s">
        <v>1411</v>
      </c>
      <c r="E449" t="s">
        <v>1418</v>
      </c>
      <c r="F449" s="1">
        <v>45351</v>
      </c>
      <c r="G449" t="s">
        <v>1423</v>
      </c>
    </row>
    <row r="450" spans="1:7">
      <c r="A450" t="str">
        <f>"110302000"</f>
        <v>110302000</v>
      </c>
      <c r="B450" t="s">
        <v>1081</v>
      </c>
      <c r="C450" t="s">
        <v>1410</v>
      </c>
      <c r="D450" t="s">
        <v>1411</v>
      </c>
      <c r="E450" t="s">
        <v>1417</v>
      </c>
      <c r="F450" s="1">
        <v>45197</v>
      </c>
      <c r="G450" t="s">
        <v>1413</v>
      </c>
    </row>
    <row r="451" spans="1:7">
      <c r="A451" t="str">
        <f>"070408000"</f>
        <v>070408000</v>
      </c>
      <c r="B451" t="s">
        <v>1082</v>
      </c>
      <c r="C451" t="s">
        <v>1419</v>
      </c>
      <c r="D451" t="s">
        <v>1411</v>
      </c>
      <c r="E451" t="s">
        <v>1412</v>
      </c>
      <c r="F451" s="1">
        <v>45356</v>
      </c>
      <c r="G451" t="s">
        <v>1413</v>
      </c>
    </row>
    <row r="452" spans="1:7">
      <c r="A452" t="str">
        <f>"080306000"</f>
        <v>080306000</v>
      </c>
      <c r="B452" t="s">
        <v>1083</v>
      </c>
      <c r="C452" t="s">
        <v>1416</v>
      </c>
      <c r="D452" t="s">
        <v>1411</v>
      </c>
      <c r="E452" t="s">
        <v>1417</v>
      </c>
      <c r="F452" s="1">
        <v>45335</v>
      </c>
      <c r="G452" t="s">
        <v>1413</v>
      </c>
    </row>
    <row r="453" spans="1:7">
      <c r="A453" t="str">
        <f>"078907000"</f>
        <v>078907000</v>
      </c>
      <c r="B453" t="s">
        <v>1084</v>
      </c>
      <c r="C453" t="s">
        <v>1419</v>
      </c>
      <c r="D453" t="s">
        <v>1411</v>
      </c>
      <c r="E453" t="s">
        <v>1412</v>
      </c>
      <c r="F453" s="1">
        <v>45349</v>
      </c>
      <c r="G453" t="s">
        <v>1413</v>
      </c>
    </row>
    <row r="454" spans="1:7">
      <c r="A454" t="str">
        <f>"138758000"</f>
        <v>138758000</v>
      </c>
      <c r="B454" t="s">
        <v>1086</v>
      </c>
      <c r="C454" t="s">
        <v>1420</v>
      </c>
      <c r="D454" t="s">
        <v>1411</v>
      </c>
      <c r="E454" t="s">
        <v>1412</v>
      </c>
      <c r="F454" s="1">
        <v>45351</v>
      </c>
      <c r="G454" t="s">
        <v>1413</v>
      </c>
    </row>
    <row r="455" spans="1:7">
      <c r="A455" t="str">
        <f>"030208000"</f>
        <v>030208000</v>
      </c>
      <c r="B455" t="s">
        <v>1087</v>
      </c>
      <c r="C455" t="s">
        <v>1430</v>
      </c>
      <c r="D455" t="s">
        <v>1411</v>
      </c>
      <c r="E455" t="s">
        <v>1422</v>
      </c>
      <c r="F455" s="1">
        <v>45358</v>
      </c>
      <c r="G455" t="s">
        <v>1413</v>
      </c>
    </row>
    <row r="456" spans="1:7">
      <c r="A456" t="str">
        <f>"038753000"</f>
        <v>038753000</v>
      </c>
      <c r="B456" t="s">
        <v>1088</v>
      </c>
      <c r="C456" t="s">
        <v>1430</v>
      </c>
      <c r="D456" t="s">
        <v>1411</v>
      </c>
      <c r="E456" t="s">
        <v>1417</v>
      </c>
      <c r="F456" s="1">
        <v>45335</v>
      </c>
      <c r="G456" t="s">
        <v>1413</v>
      </c>
    </row>
    <row r="457" spans="1:7">
      <c r="A457" t="str">
        <f>"138756000"</f>
        <v>138756000</v>
      </c>
      <c r="B457" t="s">
        <v>1089</v>
      </c>
      <c r="C457" t="s">
        <v>1420</v>
      </c>
      <c r="D457" t="s">
        <v>1411</v>
      </c>
      <c r="E457" t="s">
        <v>1412</v>
      </c>
      <c r="F457" s="1">
        <v>45341</v>
      </c>
      <c r="G457" t="s">
        <v>1413</v>
      </c>
    </row>
    <row r="458" spans="1:7">
      <c r="A458" t="str">
        <f>"070449000"</f>
        <v>070449000</v>
      </c>
      <c r="B458" t="s">
        <v>1090</v>
      </c>
      <c r="C458" t="s">
        <v>1419</v>
      </c>
      <c r="D458" t="s">
        <v>1411</v>
      </c>
      <c r="E458" t="s">
        <v>1417</v>
      </c>
      <c r="F458" s="1">
        <v>45335</v>
      </c>
      <c r="G458" t="s">
        <v>1413</v>
      </c>
    </row>
    <row r="459" spans="1:7">
      <c r="A459" t="str">
        <f>"070394000"</f>
        <v>070394000</v>
      </c>
      <c r="B459" t="s">
        <v>1091</v>
      </c>
      <c r="C459" t="s">
        <v>1419</v>
      </c>
      <c r="D459" t="s">
        <v>1411</v>
      </c>
      <c r="E459" t="s">
        <v>1418</v>
      </c>
      <c r="F459" s="1">
        <v>45336</v>
      </c>
      <c r="G459" t="s">
        <v>1413</v>
      </c>
    </row>
    <row r="460" spans="1:7">
      <c r="A460" t="str">
        <f>"020349000"</f>
        <v>020349000</v>
      </c>
      <c r="B460" t="s">
        <v>1092</v>
      </c>
      <c r="C460" t="s">
        <v>1428</v>
      </c>
      <c r="D460" t="s">
        <v>1411</v>
      </c>
      <c r="E460" t="s">
        <v>1417</v>
      </c>
      <c r="F460" s="1">
        <v>45335</v>
      </c>
      <c r="G460" t="s">
        <v>1413</v>
      </c>
    </row>
    <row r="461" spans="1:7">
      <c r="A461" t="str">
        <f>"078940000"</f>
        <v>078940000</v>
      </c>
      <c r="B461" t="s">
        <v>1093</v>
      </c>
      <c r="C461" t="s">
        <v>1419</v>
      </c>
      <c r="D461" t="s">
        <v>1411</v>
      </c>
      <c r="E461" t="s">
        <v>1417</v>
      </c>
      <c r="F461" s="1">
        <v>45335</v>
      </c>
      <c r="G461" t="s">
        <v>1413</v>
      </c>
    </row>
    <row r="462" spans="1:7">
      <c r="A462" t="str">
        <f>"070269000"</f>
        <v>070269000</v>
      </c>
      <c r="B462" t="s">
        <v>1094</v>
      </c>
      <c r="C462" t="s">
        <v>1419</v>
      </c>
      <c r="D462" t="s">
        <v>1411</v>
      </c>
      <c r="E462" t="s">
        <v>1417</v>
      </c>
      <c r="F462" s="1">
        <v>45335</v>
      </c>
      <c r="G462" t="s">
        <v>1413</v>
      </c>
    </row>
    <row r="463" spans="1:7">
      <c r="A463" t="str">
        <f>"078912000"</f>
        <v>078912000</v>
      </c>
      <c r="B463" t="s">
        <v>1095</v>
      </c>
      <c r="C463" t="s">
        <v>1419</v>
      </c>
      <c r="D463" t="s">
        <v>1411</v>
      </c>
      <c r="E463" t="s">
        <v>1412</v>
      </c>
      <c r="F463" s="1">
        <v>45357</v>
      </c>
      <c r="G463" t="s">
        <v>1413</v>
      </c>
    </row>
    <row r="464" spans="1:7">
      <c r="A464" t="str">
        <f>"150227000"</f>
        <v>150227000</v>
      </c>
      <c r="B464" t="s">
        <v>1096</v>
      </c>
      <c r="C464" t="s">
        <v>1431</v>
      </c>
      <c r="D464" t="s">
        <v>1411</v>
      </c>
      <c r="E464" t="s">
        <v>1417</v>
      </c>
      <c r="F464" s="1">
        <v>45261</v>
      </c>
      <c r="G464" t="s">
        <v>1413</v>
      </c>
    </row>
    <row r="465" spans="1:7">
      <c r="A465" t="str">
        <f>"078963000"</f>
        <v>078963000</v>
      </c>
      <c r="B465" t="s">
        <v>1098</v>
      </c>
      <c r="C465" t="s">
        <v>1419</v>
      </c>
      <c r="D465" t="s">
        <v>1411</v>
      </c>
      <c r="E465" t="s">
        <v>1412</v>
      </c>
      <c r="F465" s="1">
        <v>45349</v>
      </c>
      <c r="G465" t="s">
        <v>1413</v>
      </c>
    </row>
    <row r="466" spans="1:7">
      <c r="A466" t="str">
        <f>"120406000"</f>
        <v>120406000</v>
      </c>
      <c r="B466" t="s">
        <v>1099</v>
      </c>
      <c r="C466" t="s">
        <v>1436</v>
      </c>
      <c r="D466" t="s">
        <v>1411</v>
      </c>
      <c r="E466" t="s">
        <v>1417</v>
      </c>
      <c r="F466" s="1">
        <v>45272</v>
      </c>
      <c r="G466" t="s">
        <v>1413</v>
      </c>
    </row>
    <row r="467" spans="1:7">
      <c r="A467" t="str">
        <f>"128725000"</f>
        <v>128725000</v>
      </c>
      <c r="B467" t="s">
        <v>1100</v>
      </c>
      <c r="C467" t="s">
        <v>1436</v>
      </c>
      <c r="D467" t="s">
        <v>1411</v>
      </c>
      <c r="E467" t="s">
        <v>1417</v>
      </c>
      <c r="F467" s="1">
        <v>45251</v>
      </c>
      <c r="G467" t="s">
        <v>1413</v>
      </c>
    </row>
    <row r="468" spans="1:7">
      <c r="A468" t="str">
        <f>"120520000"</f>
        <v>120520000</v>
      </c>
      <c r="B468" t="s">
        <v>1102</v>
      </c>
      <c r="C468" t="s">
        <v>1436</v>
      </c>
      <c r="D468" t="s">
        <v>1411</v>
      </c>
      <c r="E468" t="s">
        <v>1417</v>
      </c>
      <c r="F468" s="1">
        <v>45260</v>
      </c>
      <c r="G468" t="s">
        <v>1413</v>
      </c>
    </row>
    <row r="469" spans="1:7">
      <c r="A469" t="str">
        <f>"078792000"</f>
        <v>078792000</v>
      </c>
      <c r="B469" t="s">
        <v>1103</v>
      </c>
      <c r="C469" t="s">
        <v>1419</v>
      </c>
      <c r="D469" t="s">
        <v>1411</v>
      </c>
      <c r="E469" t="s">
        <v>1412</v>
      </c>
      <c r="F469" s="1">
        <v>45349</v>
      </c>
      <c r="G469" t="s">
        <v>1413</v>
      </c>
    </row>
    <row r="470" spans="1:7">
      <c r="A470" t="str">
        <f>"078216000"</f>
        <v>078216000</v>
      </c>
      <c r="B470" t="s">
        <v>1105</v>
      </c>
      <c r="C470" t="s">
        <v>1419</v>
      </c>
      <c r="D470" t="s">
        <v>1411</v>
      </c>
      <c r="E470" t="s">
        <v>1412</v>
      </c>
      <c r="F470" s="1">
        <v>45082</v>
      </c>
      <c r="G470" t="s">
        <v>1423</v>
      </c>
    </row>
    <row r="471" spans="1:7">
      <c r="A471" t="str">
        <f>"078631000"</f>
        <v>078631000</v>
      </c>
      <c r="B471" t="s">
        <v>1107</v>
      </c>
      <c r="C471" t="s">
        <v>1419</v>
      </c>
      <c r="D471" t="s">
        <v>1411</v>
      </c>
      <c r="E471" t="s">
        <v>1412</v>
      </c>
      <c r="F471" s="1">
        <v>45356</v>
      </c>
      <c r="G471" t="s">
        <v>1423</v>
      </c>
    </row>
    <row r="472" spans="1:7">
      <c r="A472" t="str">
        <f>"040210000"</f>
        <v>040210000</v>
      </c>
      <c r="B472" t="s">
        <v>1108</v>
      </c>
      <c r="C472" t="s">
        <v>1434</v>
      </c>
      <c r="D472" t="s">
        <v>1411</v>
      </c>
      <c r="E472" t="s">
        <v>1418</v>
      </c>
      <c r="F472" s="1">
        <v>45344</v>
      </c>
      <c r="G472" t="s">
        <v>1413</v>
      </c>
    </row>
    <row r="473" spans="1:7">
      <c r="A473" t="str">
        <f>"080208000"</f>
        <v>080208000</v>
      </c>
      <c r="B473" t="s">
        <v>1109</v>
      </c>
      <c r="C473" t="s">
        <v>1416</v>
      </c>
      <c r="D473" t="s">
        <v>1411</v>
      </c>
      <c r="E473" t="s">
        <v>1412</v>
      </c>
      <c r="F473" s="1">
        <v>45357</v>
      </c>
      <c r="G473" t="s">
        <v>1413</v>
      </c>
    </row>
    <row r="474" spans="1:7">
      <c r="A474" t="str">
        <f>"020422000"</f>
        <v>020422000</v>
      </c>
      <c r="B474" t="s">
        <v>1110</v>
      </c>
      <c r="C474" t="s">
        <v>1428</v>
      </c>
      <c r="D474" t="s">
        <v>1411</v>
      </c>
      <c r="E474" t="s">
        <v>1412</v>
      </c>
      <c r="F474" s="1">
        <v>45338</v>
      </c>
      <c r="G474" t="s">
        <v>1413</v>
      </c>
    </row>
    <row r="475" spans="1:7">
      <c r="A475" t="str">
        <f>"070492000"</f>
        <v>070492000</v>
      </c>
      <c r="B475" t="s">
        <v>1111</v>
      </c>
      <c r="C475" t="s">
        <v>1419</v>
      </c>
      <c r="D475" t="s">
        <v>1411</v>
      </c>
      <c r="E475" t="s">
        <v>1412</v>
      </c>
      <c r="F475" s="1">
        <v>45351</v>
      </c>
      <c r="G475" t="s">
        <v>1413</v>
      </c>
    </row>
    <row r="476" spans="1:7">
      <c r="A476" t="str">
        <f>"078238000"</f>
        <v>078238000</v>
      </c>
      <c r="B476" t="s">
        <v>1113</v>
      </c>
      <c r="C476" t="s">
        <v>1419</v>
      </c>
      <c r="D476" t="s">
        <v>1411</v>
      </c>
      <c r="E476" t="s">
        <v>1417</v>
      </c>
      <c r="F476" s="1">
        <v>45335</v>
      </c>
      <c r="G476" t="s">
        <v>1413</v>
      </c>
    </row>
    <row r="477" spans="1:7">
      <c r="A477" t="str">
        <f>"070211000"</f>
        <v>070211000</v>
      </c>
      <c r="B477" t="s">
        <v>1114</v>
      </c>
      <c r="C477" t="s">
        <v>1419</v>
      </c>
      <c r="D477" t="s">
        <v>1411</v>
      </c>
      <c r="E477" t="s">
        <v>1418</v>
      </c>
      <c r="F477" s="1">
        <v>45349</v>
      </c>
      <c r="G477" t="s">
        <v>1413</v>
      </c>
    </row>
    <row r="478" spans="1:7">
      <c r="A478" t="str">
        <f>"078716000"</f>
        <v>078716000</v>
      </c>
      <c r="B478" t="s">
        <v>1116</v>
      </c>
      <c r="C478" t="s">
        <v>1419</v>
      </c>
      <c r="D478" t="s">
        <v>1411</v>
      </c>
      <c r="E478" t="s">
        <v>1415</v>
      </c>
      <c r="F478" s="1">
        <v>45357</v>
      </c>
      <c r="G478" t="s">
        <v>1423</v>
      </c>
    </row>
    <row r="479" spans="1:7">
      <c r="A479" t="str">
        <f>"070401000"</f>
        <v>070401000</v>
      </c>
      <c r="B479" t="s">
        <v>1117</v>
      </c>
      <c r="C479" t="s">
        <v>1419</v>
      </c>
      <c r="D479" t="s">
        <v>1411</v>
      </c>
      <c r="E479" t="s">
        <v>1417</v>
      </c>
      <c r="F479" s="1">
        <v>45300</v>
      </c>
      <c r="G479" t="s">
        <v>1413</v>
      </c>
    </row>
    <row r="480" spans="1:7">
      <c r="A480" t="str">
        <f>"078693000"</f>
        <v>078693000</v>
      </c>
      <c r="B480" t="s">
        <v>1118</v>
      </c>
      <c r="C480" t="s">
        <v>1419</v>
      </c>
      <c r="D480" t="s">
        <v>1411</v>
      </c>
      <c r="E480" t="s">
        <v>1412</v>
      </c>
      <c r="F480" s="1">
        <v>45349</v>
      </c>
      <c r="G480" t="s">
        <v>1413</v>
      </c>
    </row>
    <row r="481" spans="1:7">
      <c r="A481" t="str">
        <f>"078776000"</f>
        <v>078776000</v>
      </c>
      <c r="B481" t="s">
        <v>1120</v>
      </c>
      <c r="C481" t="s">
        <v>1419</v>
      </c>
      <c r="D481" t="s">
        <v>1411</v>
      </c>
      <c r="E481" t="s">
        <v>1417</v>
      </c>
      <c r="F481" s="1">
        <v>45335</v>
      </c>
      <c r="G481" t="s">
        <v>1413</v>
      </c>
    </row>
    <row r="482" spans="1:7">
      <c r="A482" t="str">
        <f>"070510000"</f>
        <v>070510000</v>
      </c>
      <c r="B482" t="s">
        <v>1122</v>
      </c>
      <c r="C482" t="s">
        <v>1419</v>
      </c>
      <c r="D482" t="s">
        <v>1411</v>
      </c>
      <c r="E482" t="s">
        <v>1412</v>
      </c>
      <c r="F482" s="1">
        <v>45357</v>
      </c>
      <c r="G482" t="s">
        <v>1413</v>
      </c>
    </row>
    <row r="483" spans="1:7">
      <c r="A483" t="str">
        <f>"110433000"</f>
        <v>110433000</v>
      </c>
      <c r="B483" t="s">
        <v>1123</v>
      </c>
      <c r="C483" t="s">
        <v>1410</v>
      </c>
      <c r="D483" t="s">
        <v>1411</v>
      </c>
      <c r="E483" t="s">
        <v>1415</v>
      </c>
      <c r="F483" s="1">
        <v>45357</v>
      </c>
      <c r="G483" t="s">
        <v>1413</v>
      </c>
    </row>
    <row r="484" spans="1:7">
      <c r="A484" t="str">
        <f>"078504000"</f>
        <v>078504000</v>
      </c>
      <c r="B484" t="s">
        <v>1125</v>
      </c>
      <c r="C484" t="s">
        <v>1419</v>
      </c>
      <c r="D484" t="s">
        <v>1411</v>
      </c>
      <c r="E484" t="s">
        <v>1417</v>
      </c>
      <c r="F484" s="1">
        <v>45335</v>
      </c>
      <c r="G484" t="s">
        <v>1413</v>
      </c>
    </row>
    <row r="485" spans="1:7">
      <c r="A485" t="str">
        <f>"100100000"</f>
        <v>100100000</v>
      </c>
      <c r="B485" t="s">
        <v>1127</v>
      </c>
      <c r="C485" t="s">
        <v>1414</v>
      </c>
      <c r="D485" t="s">
        <v>1411</v>
      </c>
      <c r="E485" t="s">
        <v>1417</v>
      </c>
      <c r="F485" s="1">
        <v>45307</v>
      </c>
      <c r="G485" t="s">
        <v>1413</v>
      </c>
    </row>
    <row r="486" spans="1:7">
      <c r="A486" t="str">
        <f>"108601000"</f>
        <v>108601000</v>
      </c>
      <c r="B486" t="s">
        <v>1129</v>
      </c>
      <c r="C486" t="s">
        <v>1414</v>
      </c>
      <c r="D486" t="s">
        <v>1411</v>
      </c>
      <c r="E486" t="s">
        <v>1412</v>
      </c>
      <c r="F486" s="1">
        <v>45355</v>
      </c>
      <c r="G486" t="s">
        <v>1413</v>
      </c>
    </row>
    <row r="487" spans="1:7">
      <c r="A487" t="str">
        <f>"108799000"</f>
        <v>108799000</v>
      </c>
      <c r="B487" t="s">
        <v>1131</v>
      </c>
      <c r="C487" t="s">
        <v>1414</v>
      </c>
      <c r="D487" t="s">
        <v>1411</v>
      </c>
      <c r="E487" t="s">
        <v>1412</v>
      </c>
      <c r="F487" s="1">
        <v>45355</v>
      </c>
      <c r="G487" t="s">
        <v>1413</v>
      </c>
    </row>
    <row r="488" spans="1:7">
      <c r="A488" t="str">
        <f>"108711000"</f>
        <v>108711000</v>
      </c>
      <c r="B488" t="s">
        <v>1133</v>
      </c>
      <c r="C488" t="s">
        <v>1414</v>
      </c>
      <c r="D488" t="s">
        <v>1411</v>
      </c>
      <c r="E488" t="s">
        <v>1412</v>
      </c>
      <c r="F488" s="1">
        <v>45349</v>
      </c>
      <c r="G488" t="s">
        <v>1413</v>
      </c>
    </row>
    <row r="489" spans="1:7">
      <c r="A489" t="str">
        <f>"108507000"</f>
        <v>108507000</v>
      </c>
      <c r="B489" t="s">
        <v>1135</v>
      </c>
      <c r="C489" t="s">
        <v>1414</v>
      </c>
      <c r="D489" t="s">
        <v>1411</v>
      </c>
      <c r="E489" t="s">
        <v>1412</v>
      </c>
      <c r="F489" s="1">
        <v>45349</v>
      </c>
      <c r="G489" t="s">
        <v>1413</v>
      </c>
    </row>
    <row r="490" spans="1:7">
      <c r="A490" t="str">
        <f>"050206000"</f>
        <v>050206000</v>
      </c>
      <c r="B490" t="s">
        <v>1136</v>
      </c>
      <c r="C490" t="s">
        <v>1433</v>
      </c>
      <c r="D490" t="s">
        <v>1411</v>
      </c>
      <c r="E490" t="s">
        <v>1412</v>
      </c>
      <c r="F490" s="1">
        <v>45356</v>
      </c>
      <c r="G490" t="s">
        <v>1413</v>
      </c>
    </row>
    <row r="491" spans="1:7">
      <c r="A491" t="str">
        <f>"116012000"</f>
        <v>116012000</v>
      </c>
      <c r="B491" t="s">
        <v>1138</v>
      </c>
      <c r="C491" t="s">
        <v>1410</v>
      </c>
      <c r="D491" t="s">
        <v>1411</v>
      </c>
      <c r="E491" t="s">
        <v>1412</v>
      </c>
      <c r="F491" s="1">
        <v>45245</v>
      </c>
      <c r="G491" t="s">
        <v>1423</v>
      </c>
    </row>
    <row r="492" spans="1:7">
      <c r="A492" t="str">
        <f>"038706000"</f>
        <v>038706000</v>
      </c>
      <c r="B492" t="s">
        <v>1139</v>
      </c>
      <c r="C492" t="s">
        <v>1430</v>
      </c>
      <c r="D492" t="s">
        <v>1411</v>
      </c>
      <c r="E492" t="s">
        <v>1417</v>
      </c>
      <c r="F492" s="1">
        <v>45238</v>
      </c>
      <c r="G492" t="s">
        <v>1413</v>
      </c>
    </row>
    <row r="493" spans="1:7">
      <c r="A493" t="str">
        <f>"040312000"</f>
        <v>040312000</v>
      </c>
      <c r="B493" t="s">
        <v>1140</v>
      </c>
      <c r="C493" t="s">
        <v>1434</v>
      </c>
      <c r="D493" t="s">
        <v>1411</v>
      </c>
      <c r="E493" t="s">
        <v>1412</v>
      </c>
      <c r="F493" s="1">
        <v>45357</v>
      </c>
      <c r="G493" t="s">
        <v>1413</v>
      </c>
    </row>
    <row r="494" spans="1:7">
      <c r="A494" t="str">
        <f>"090204000"</f>
        <v>090204000</v>
      </c>
      <c r="B494" t="s">
        <v>1141</v>
      </c>
      <c r="C494" t="s">
        <v>1432</v>
      </c>
      <c r="D494" t="s">
        <v>1411</v>
      </c>
      <c r="E494" t="s">
        <v>1418</v>
      </c>
      <c r="F494" s="1">
        <v>45299</v>
      </c>
      <c r="G494" t="s">
        <v>1413</v>
      </c>
    </row>
    <row r="495" spans="1:7">
      <c r="A495" t="str">
        <f>"078550000"</f>
        <v>078550000</v>
      </c>
      <c r="B495" t="s">
        <v>1142</v>
      </c>
      <c r="C495" t="s">
        <v>1419</v>
      </c>
      <c r="D495" t="s">
        <v>1411</v>
      </c>
      <c r="E495" t="s">
        <v>1417</v>
      </c>
      <c r="F495" s="1">
        <v>45296</v>
      </c>
      <c r="G495" t="s">
        <v>1413</v>
      </c>
    </row>
    <row r="496" spans="1:7">
      <c r="A496" t="str">
        <f>"078925000"</f>
        <v>078925000</v>
      </c>
      <c r="B496" t="s">
        <v>1143</v>
      </c>
      <c r="C496" t="s">
        <v>1419</v>
      </c>
      <c r="D496" t="s">
        <v>1411</v>
      </c>
      <c r="E496" t="s">
        <v>1412</v>
      </c>
      <c r="F496" s="1">
        <v>45219</v>
      </c>
      <c r="G496" t="s">
        <v>1423</v>
      </c>
    </row>
    <row r="497" spans="1:7">
      <c r="A497" t="str">
        <f>"020364000"</f>
        <v>020364000</v>
      </c>
      <c r="B497" t="s">
        <v>1144</v>
      </c>
      <c r="C497" t="s">
        <v>1428</v>
      </c>
      <c r="D497" t="s">
        <v>1411</v>
      </c>
      <c r="E497" t="s">
        <v>1417</v>
      </c>
      <c r="F497" s="1">
        <v>45275</v>
      </c>
      <c r="G497" t="s">
        <v>1413</v>
      </c>
    </row>
    <row r="498" spans="1:7">
      <c r="A498" t="str">
        <f>"108744000"</f>
        <v>108744000</v>
      </c>
      <c r="B498" t="s">
        <v>1146</v>
      </c>
      <c r="C498" t="s">
        <v>1414</v>
      </c>
      <c r="D498" t="s">
        <v>1411</v>
      </c>
      <c r="E498" t="s">
        <v>1412</v>
      </c>
      <c r="F498" s="1">
        <v>45357</v>
      </c>
      <c r="G498" t="s">
        <v>1413</v>
      </c>
    </row>
    <row r="499" spans="1:7">
      <c r="A499" t="str">
        <f>"108796000"</f>
        <v>108796000</v>
      </c>
      <c r="B499" t="s">
        <v>1146</v>
      </c>
      <c r="C499" t="s">
        <v>1414</v>
      </c>
      <c r="D499" t="s">
        <v>1411</v>
      </c>
      <c r="E499" t="s">
        <v>1412</v>
      </c>
      <c r="F499" s="1">
        <v>45339</v>
      </c>
      <c r="G499" t="s">
        <v>1413</v>
      </c>
    </row>
    <row r="500" spans="1:7">
      <c r="A500" t="str">
        <f>"078939000"</f>
        <v>078939000</v>
      </c>
      <c r="B500" t="s">
        <v>1148</v>
      </c>
      <c r="C500" t="s">
        <v>1419</v>
      </c>
      <c r="D500" t="s">
        <v>1411</v>
      </c>
      <c r="E500" t="s">
        <v>1417</v>
      </c>
      <c r="F500" s="1">
        <v>45335</v>
      </c>
      <c r="G500" t="s">
        <v>1413</v>
      </c>
    </row>
    <row r="501" spans="1:7">
      <c r="A501" t="str">
        <f>"078100000"</f>
        <v>078100000</v>
      </c>
      <c r="B501" t="s">
        <v>1150</v>
      </c>
      <c r="C501" t="s">
        <v>1419</v>
      </c>
      <c r="D501" t="s">
        <v>1411</v>
      </c>
      <c r="E501" t="s">
        <v>1412</v>
      </c>
      <c r="F501" s="1">
        <v>45356</v>
      </c>
      <c r="G501" t="s">
        <v>1423</v>
      </c>
    </row>
    <row r="502" spans="1:7">
      <c r="A502" t="str">
        <f>"130201000"</f>
        <v>130201000</v>
      </c>
      <c r="B502" t="s">
        <v>1151</v>
      </c>
      <c r="C502" t="s">
        <v>1420</v>
      </c>
      <c r="D502" t="s">
        <v>1411</v>
      </c>
      <c r="E502" t="s">
        <v>1417</v>
      </c>
      <c r="F502" s="1">
        <v>45335</v>
      </c>
      <c r="G502" t="s">
        <v>1413</v>
      </c>
    </row>
    <row r="503" spans="1:7">
      <c r="A503" t="str">
        <f>"078516000"</f>
        <v>078516000</v>
      </c>
      <c r="B503" t="s">
        <v>1152</v>
      </c>
      <c r="C503" t="s">
        <v>1420</v>
      </c>
      <c r="D503" t="s">
        <v>1411</v>
      </c>
      <c r="E503" t="s">
        <v>1426</v>
      </c>
      <c r="F503" s="1">
        <v>45337</v>
      </c>
      <c r="G503" t="s">
        <v>1413</v>
      </c>
    </row>
    <row r="504" spans="1:7">
      <c r="A504" t="str">
        <f>"108778000"</f>
        <v>108778000</v>
      </c>
      <c r="B504" t="s">
        <v>1153</v>
      </c>
      <c r="C504" t="s">
        <v>1414</v>
      </c>
      <c r="D504" t="s">
        <v>1411</v>
      </c>
      <c r="E504" t="s">
        <v>1417</v>
      </c>
      <c r="F504" s="1">
        <v>45335</v>
      </c>
      <c r="G504" t="s">
        <v>1413</v>
      </c>
    </row>
    <row r="505" spans="1:7">
      <c r="A505" t="str">
        <f>"150404000"</f>
        <v>150404000</v>
      </c>
      <c r="B505" t="s">
        <v>1154</v>
      </c>
      <c r="C505" t="s">
        <v>1431</v>
      </c>
      <c r="D505" t="s">
        <v>1411</v>
      </c>
      <c r="E505" t="s">
        <v>1418</v>
      </c>
      <c r="F505" s="1">
        <v>45166</v>
      </c>
      <c r="G505" t="s">
        <v>1423</v>
      </c>
    </row>
    <row r="506" spans="1:7">
      <c r="A506" t="str">
        <f>"070295000"</f>
        <v>070295000</v>
      </c>
      <c r="B506" t="s">
        <v>1155</v>
      </c>
      <c r="C506" t="s">
        <v>1419</v>
      </c>
      <c r="D506" t="s">
        <v>1411</v>
      </c>
      <c r="E506" t="s">
        <v>1417</v>
      </c>
      <c r="F506" s="1">
        <v>45335</v>
      </c>
      <c r="G506" t="s">
        <v>1413</v>
      </c>
    </row>
    <row r="507" spans="1:7">
      <c r="A507" t="str">
        <f>"110203000"</f>
        <v>110203000</v>
      </c>
      <c r="B507" t="s">
        <v>1156</v>
      </c>
      <c r="C507" t="s">
        <v>1410</v>
      </c>
      <c r="D507" t="s">
        <v>1411</v>
      </c>
      <c r="E507" t="s">
        <v>1417</v>
      </c>
      <c r="F507" s="1">
        <v>45238</v>
      </c>
      <c r="G507" t="s">
        <v>1413</v>
      </c>
    </row>
    <row r="508" spans="1:7">
      <c r="A508" t="str">
        <f>"010227000"</f>
        <v>010227000</v>
      </c>
      <c r="B508" t="s">
        <v>1157</v>
      </c>
      <c r="C508" t="s">
        <v>1424</v>
      </c>
      <c r="D508" t="s">
        <v>1411</v>
      </c>
      <c r="E508" t="s">
        <v>1417</v>
      </c>
      <c r="F508" s="1">
        <v>45301</v>
      </c>
      <c r="G508" t="s">
        <v>1413</v>
      </c>
    </row>
    <row r="509" spans="1:7">
      <c r="A509" t="str">
        <f>"110405000"</f>
        <v>110405000</v>
      </c>
      <c r="B509" t="s">
        <v>1158</v>
      </c>
      <c r="C509" t="s">
        <v>1410</v>
      </c>
      <c r="D509" t="s">
        <v>1411</v>
      </c>
      <c r="E509" t="s">
        <v>1417</v>
      </c>
      <c r="F509" s="1">
        <v>45335</v>
      </c>
      <c r="G509" t="s">
        <v>1413</v>
      </c>
    </row>
    <row r="510" spans="1:7">
      <c r="A510" t="str">
        <f>"078209000"</f>
        <v>078209000</v>
      </c>
      <c r="B510" t="s">
        <v>1159</v>
      </c>
      <c r="C510" t="s">
        <v>1419</v>
      </c>
      <c r="D510" t="s">
        <v>1411</v>
      </c>
      <c r="E510" t="s">
        <v>1426</v>
      </c>
      <c r="F510" s="1">
        <v>45342</v>
      </c>
      <c r="G510" t="s">
        <v>1413</v>
      </c>
    </row>
    <row r="511" spans="1:7">
      <c r="A511" t="str">
        <f>"078749000"</f>
        <v>078749000</v>
      </c>
      <c r="B511" t="s">
        <v>1160</v>
      </c>
      <c r="C511" t="s">
        <v>1419</v>
      </c>
      <c r="D511" t="s">
        <v>1411</v>
      </c>
      <c r="E511" t="s">
        <v>1412</v>
      </c>
      <c r="F511" s="1">
        <v>45341</v>
      </c>
      <c r="G511" t="s">
        <v>1413</v>
      </c>
    </row>
    <row r="512" spans="1:7">
      <c r="A512" t="str">
        <f>"078560000"</f>
        <v>078560000</v>
      </c>
      <c r="B512" t="s">
        <v>1161</v>
      </c>
      <c r="C512" t="s">
        <v>1419</v>
      </c>
      <c r="D512" t="s">
        <v>1411</v>
      </c>
      <c r="E512" t="s">
        <v>1417</v>
      </c>
      <c r="F512" s="1">
        <v>45335</v>
      </c>
      <c r="G512" t="s">
        <v>1413</v>
      </c>
    </row>
    <row r="513" spans="1:7">
      <c r="A513" t="str">
        <f>"078609000"</f>
        <v>078609000</v>
      </c>
      <c r="B513" t="s">
        <v>1162</v>
      </c>
      <c r="C513" t="s">
        <v>1419</v>
      </c>
      <c r="D513" t="s">
        <v>1411</v>
      </c>
      <c r="E513" t="s">
        <v>1417</v>
      </c>
      <c r="F513" s="1">
        <v>45335</v>
      </c>
      <c r="G513" t="s">
        <v>1413</v>
      </c>
    </row>
    <row r="514" spans="1:7">
      <c r="A514" t="str">
        <f>"070402000"</f>
        <v>070402000</v>
      </c>
      <c r="B514" t="s">
        <v>1163</v>
      </c>
      <c r="C514" t="s">
        <v>1419</v>
      </c>
      <c r="D514" t="s">
        <v>1411</v>
      </c>
      <c r="E514" t="s">
        <v>1412</v>
      </c>
      <c r="F514" s="1">
        <v>45353</v>
      </c>
      <c r="G514" t="s">
        <v>1413</v>
      </c>
    </row>
    <row r="515" spans="1:7">
      <c r="A515" t="str">
        <f>"070466000"</f>
        <v>070466000</v>
      </c>
      <c r="B515" t="s">
        <v>1164</v>
      </c>
      <c r="C515" t="s">
        <v>1419</v>
      </c>
      <c r="D515" t="s">
        <v>1411</v>
      </c>
      <c r="E515" t="s">
        <v>1417</v>
      </c>
      <c r="F515" s="1">
        <v>45335</v>
      </c>
      <c r="G515" t="s">
        <v>1413</v>
      </c>
    </row>
    <row r="516" spans="1:7">
      <c r="A516" t="str">
        <f>"078266000"</f>
        <v>078266000</v>
      </c>
      <c r="B516" t="s">
        <v>1165</v>
      </c>
      <c r="C516" t="s">
        <v>1419</v>
      </c>
      <c r="D516" t="s">
        <v>1411</v>
      </c>
      <c r="E516" t="s">
        <v>1426</v>
      </c>
      <c r="F516" s="1">
        <v>45355</v>
      </c>
      <c r="G516" t="s">
        <v>1413</v>
      </c>
    </row>
    <row r="517" spans="1:7">
      <c r="A517" t="str">
        <f>"078508000"</f>
        <v>078508000</v>
      </c>
      <c r="B517" t="s">
        <v>1166</v>
      </c>
      <c r="C517" t="s">
        <v>1419</v>
      </c>
      <c r="D517" t="s">
        <v>1411</v>
      </c>
      <c r="E517" t="s">
        <v>1417</v>
      </c>
      <c r="F517" s="1">
        <v>45286</v>
      </c>
      <c r="G517" t="s">
        <v>1413</v>
      </c>
    </row>
    <row r="518" spans="1:7">
      <c r="A518" t="str">
        <f>"010210000"</f>
        <v>010210000</v>
      </c>
      <c r="B518" t="s">
        <v>1167</v>
      </c>
      <c r="C518" t="s">
        <v>1424</v>
      </c>
      <c r="D518" t="s">
        <v>1411</v>
      </c>
      <c r="E518" t="s">
        <v>1417</v>
      </c>
      <c r="F518" s="1">
        <v>45357</v>
      </c>
      <c r="G518" t="s">
        <v>1413</v>
      </c>
    </row>
    <row r="519" spans="1:7">
      <c r="A519" t="str">
        <f>"110418000"</f>
        <v>110418000</v>
      </c>
      <c r="B519" t="s">
        <v>1168</v>
      </c>
      <c r="C519" t="s">
        <v>1410</v>
      </c>
      <c r="D519" t="s">
        <v>1411</v>
      </c>
      <c r="E519" t="s">
        <v>1417</v>
      </c>
      <c r="F519" s="1">
        <v>45287</v>
      </c>
      <c r="G519" t="s">
        <v>1413</v>
      </c>
    </row>
    <row r="520" spans="1:7">
      <c r="A520" t="str">
        <f>"070290000"</f>
        <v>070290000</v>
      </c>
      <c r="B520" t="s">
        <v>1169</v>
      </c>
      <c r="C520" t="s">
        <v>1419</v>
      </c>
      <c r="D520" t="s">
        <v>1411</v>
      </c>
      <c r="E520" t="s">
        <v>1412</v>
      </c>
      <c r="F520" s="1">
        <v>45355</v>
      </c>
      <c r="G520" t="s">
        <v>1413</v>
      </c>
    </row>
    <row r="521" spans="1:7">
      <c r="A521" t="str">
        <f>"050201000"</f>
        <v>050201000</v>
      </c>
      <c r="B521" t="s">
        <v>1170</v>
      </c>
      <c r="C521" t="s">
        <v>1433</v>
      </c>
      <c r="D521" t="s">
        <v>1411</v>
      </c>
      <c r="E521" t="s">
        <v>1417</v>
      </c>
      <c r="F521" s="1">
        <v>45335</v>
      </c>
      <c r="G521" t="s">
        <v>1413</v>
      </c>
    </row>
    <row r="522" spans="1:7">
      <c r="A522" t="str">
        <f>"078688000"</f>
        <v>078688000</v>
      </c>
      <c r="B522" t="s">
        <v>1171</v>
      </c>
      <c r="C522" t="s">
        <v>1419</v>
      </c>
      <c r="D522" t="s">
        <v>1411</v>
      </c>
      <c r="E522" t="s">
        <v>1412</v>
      </c>
      <c r="F522" s="1">
        <v>45349</v>
      </c>
      <c r="G522" t="s">
        <v>1413</v>
      </c>
    </row>
    <row r="523" spans="1:7">
      <c r="A523" t="str">
        <f>"100230000"</f>
        <v>100230000</v>
      </c>
      <c r="B523" t="s">
        <v>1172</v>
      </c>
      <c r="C523" t="s">
        <v>1414</v>
      </c>
      <c r="D523" t="s">
        <v>1411</v>
      </c>
      <c r="E523" t="s">
        <v>1415</v>
      </c>
      <c r="F523" s="1">
        <v>45357</v>
      </c>
      <c r="G523" t="s">
        <v>1413</v>
      </c>
    </row>
    <row r="524" spans="1:7">
      <c r="A524" t="str">
        <f>"150430000"</f>
        <v>150430000</v>
      </c>
      <c r="B524" t="s">
        <v>1173</v>
      </c>
      <c r="C524" t="s">
        <v>1431</v>
      </c>
      <c r="D524" t="s">
        <v>1411</v>
      </c>
      <c r="E524" t="s">
        <v>1417</v>
      </c>
      <c r="F524" s="1">
        <v>45335</v>
      </c>
      <c r="G524" t="s">
        <v>1413</v>
      </c>
    </row>
    <row r="525" spans="1:7">
      <c r="A525" t="str">
        <f>"078656000"</f>
        <v>078656000</v>
      </c>
      <c r="B525" t="s">
        <v>1175</v>
      </c>
      <c r="C525" t="s">
        <v>1419</v>
      </c>
      <c r="D525" t="s">
        <v>1411</v>
      </c>
      <c r="E525" t="s">
        <v>1412</v>
      </c>
      <c r="F525" s="1">
        <v>45348</v>
      </c>
      <c r="G525" t="s">
        <v>1413</v>
      </c>
    </row>
    <row r="526" spans="1:7">
      <c r="A526" t="str">
        <f>"040220000"</f>
        <v>040220000</v>
      </c>
      <c r="B526" t="s">
        <v>1176</v>
      </c>
      <c r="C526" t="s">
        <v>1434</v>
      </c>
      <c r="D526" t="s">
        <v>1411</v>
      </c>
      <c r="E526" t="s">
        <v>1422</v>
      </c>
      <c r="F526" s="1">
        <v>45356</v>
      </c>
      <c r="G526" t="s">
        <v>1413</v>
      </c>
    </row>
    <row r="527" spans="1:7">
      <c r="A527" t="str">
        <f>"100335000"</f>
        <v>100335000</v>
      </c>
      <c r="B527" t="s">
        <v>1177</v>
      </c>
      <c r="C527" t="s">
        <v>1414</v>
      </c>
      <c r="D527" t="s">
        <v>1411</v>
      </c>
      <c r="E527" t="s">
        <v>1417</v>
      </c>
      <c r="F527" s="1">
        <v>45282</v>
      </c>
      <c r="G527" t="s">
        <v>1413</v>
      </c>
    </row>
    <row r="528" spans="1:7">
      <c r="A528" t="str">
        <f>"020218000"</f>
        <v>020218000</v>
      </c>
      <c r="B528" t="s">
        <v>1178</v>
      </c>
      <c r="C528" t="s">
        <v>1428</v>
      </c>
      <c r="D528" t="s">
        <v>1411</v>
      </c>
      <c r="E528" t="s">
        <v>1417</v>
      </c>
      <c r="F528" s="1">
        <v>45281</v>
      </c>
      <c r="G528" t="s">
        <v>1413</v>
      </c>
    </row>
    <row r="529" spans="1:7">
      <c r="A529" t="str">
        <f>"078539000"</f>
        <v>078539000</v>
      </c>
      <c r="B529" t="s">
        <v>1179</v>
      </c>
      <c r="C529" t="s">
        <v>1419</v>
      </c>
      <c r="D529" t="s">
        <v>1411</v>
      </c>
      <c r="E529" t="s">
        <v>1412</v>
      </c>
      <c r="F529" s="1">
        <v>45336</v>
      </c>
      <c r="G529" t="s">
        <v>1413</v>
      </c>
    </row>
    <row r="530" spans="1:7">
      <c r="A530" t="str">
        <f>"010218000"</f>
        <v>010218000</v>
      </c>
      <c r="B530" t="s">
        <v>1180</v>
      </c>
      <c r="C530" t="s">
        <v>1424</v>
      </c>
      <c r="D530" t="s">
        <v>1411</v>
      </c>
      <c r="E530" t="s">
        <v>1415</v>
      </c>
      <c r="F530" s="1">
        <v>45356</v>
      </c>
      <c r="G530" t="s">
        <v>1413</v>
      </c>
    </row>
    <row r="531" spans="1:7">
      <c r="A531" t="str">
        <f>"126013000"</f>
        <v>126013000</v>
      </c>
      <c r="B531" t="s">
        <v>1182</v>
      </c>
      <c r="C531" t="s">
        <v>1436</v>
      </c>
      <c r="D531" t="s">
        <v>1411</v>
      </c>
      <c r="E531" t="s">
        <v>1412</v>
      </c>
      <c r="F531" s="1">
        <v>45082</v>
      </c>
      <c r="G531" t="s">
        <v>1423</v>
      </c>
    </row>
    <row r="532" spans="1:7">
      <c r="A532" t="str">
        <f>"120328000"</f>
        <v>120328000</v>
      </c>
      <c r="B532" t="s">
        <v>1183</v>
      </c>
      <c r="C532" t="s">
        <v>1436</v>
      </c>
      <c r="D532" t="s">
        <v>1411</v>
      </c>
      <c r="E532" t="s">
        <v>1412</v>
      </c>
      <c r="F532" s="1">
        <v>45356</v>
      </c>
      <c r="G532" t="s">
        <v>1413</v>
      </c>
    </row>
    <row r="533" spans="1:7">
      <c r="A533" t="str">
        <f>"128726000"</f>
        <v>128726000</v>
      </c>
      <c r="B533" t="s">
        <v>1184</v>
      </c>
      <c r="C533" t="s">
        <v>1436</v>
      </c>
      <c r="D533" t="s">
        <v>1411</v>
      </c>
      <c r="E533" t="s">
        <v>1412</v>
      </c>
      <c r="F533" s="1">
        <v>45357</v>
      </c>
      <c r="G533" t="s">
        <v>1413</v>
      </c>
    </row>
    <row r="534" spans="1:7">
      <c r="A534" t="str">
        <f>"120235000"</f>
        <v>120235000</v>
      </c>
      <c r="B534" t="s">
        <v>1185</v>
      </c>
      <c r="C534" t="s">
        <v>1436</v>
      </c>
      <c r="D534" t="s">
        <v>1411</v>
      </c>
      <c r="E534" t="s">
        <v>1422</v>
      </c>
      <c r="F534" s="1">
        <v>45358</v>
      </c>
      <c r="G534" t="s">
        <v>1413</v>
      </c>
    </row>
    <row r="535" spans="1:7">
      <c r="A535" t="str">
        <f>"110540000"</f>
        <v>110540000</v>
      </c>
      <c r="B535" t="s">
        <v>1187</v>
      </c>
      <c r="C535" t="s">
        <v>1410</v>
      </c>
      <c r="D535" t="s">
        <v>1411</v>
      </c>
      <c r="E535" t="s">
        <v>1417</v>
      </c>
      <c r="F535" s="1">
        <v>45335</v>
      </c>
      <c r="G535" t="s">
        <v>1413</v>
      </c>
    </row>
    <row r="536" spans="1:7">
      <c r="A536" t="str">
        <f>"108719000"</f>
        <v>108719000</v>
      </c>
      <c r="B536" t="s">
        <v>1189</v>
      </c>
      <c r="C536" t="s">
        <v>1414</v>
      </c>
      <c r="D536" t="s">
        <v>1411</v>
      </c>
      <c r="E536" t="s">
        <v>1417</v>
      </c>
      <c r="F536" s="1">
        <v>45301</v>
      </c>
      <c r="G536" t="s">
        <v>1413</v>
      </c>
    </row>
    <row r="537" spans="1:7">
      <c r="A537" t="str">
        <f>"078962000"</f>
        <v>078962000</v>
      </c>
      <c r="B537" t="s">
        <v>1191</v>
      </c>
      <c r="C537" t="s">
        <v>1419</v>
      </c>
      <c r="D537" t="s">
        <v>1411</v>
      </c>
      <c r="E537" t="s">
        <v>1412</v>
      </c>
      <c r="F537" s="1">
        <v>45349</v>
      </c>
      <c r="G537" t="s">
        <v>1413</v>
      </c>
    </row>
    <row r="538" spans="1:7">
      <c r="A538" t="str">
        <f>"078624000"</f>
        <v>078624000</v>
      </c>
      <c r="B538" t="s">
        <v>1192</v>
      </c>
      <c r="C538" t="s">
        <v>1419</v>
      </c>
      <c r="D538" t="s">
        <v>1411</v>
      </c>
      <c r="E538" t="s">
        <v>1426</v>
      </c>
      <c r="F538" s="1">
        <v>45336</v>
      </c>
      <c r="G538" t="s">
        <v>1413</v>
      </c>
    </row>
    <row r="539" spans="1:7">
      <c r="A539" t="str">
        <f>"108514000"</f>
        <v>108514000</v>
      </c>
      <c r="B539" t="s">
        <v>1193</v>
      </c>
      <c r="C539" t="s">
        <v>1414</v>
      </c>
      <c r="D539" t="s">
        <v>1411</v>
      </c>
      <c r="E539" t="s">
        <v>1412</v>
      </c>
      <c r="F539" s="1">
        <v>45357</v>
      </c>
      <c r="G539" t="s">
        <v>1413</v>
      </c>
    </row>
    <row r="540" spans="1:7">
      <c r="A540" t="str">
        <f>"078243000"</f>
        <v>078243000</v>
      </c>
      <c r="B540" t="s">
        <v>1194</v>
      </c>
      <c r="C540" t="s">
        <v>1419</v>
      </c>
      <c r="D540" t="s">
        <v>1411</v>
      </c>
      <c r="E540" t="s">
        <v>1412</v>
      </c>
      <c r="F540" s="1">
        <v>45357</v>
      </c>
      <c r="G540" t="s">
        <v>1413</v>
      </c>
    </row>
    <row r="541" spans="1:7">
      <c r="A541" t="str">
        <f>"078533000"</f>
        <v>078533000</v>
      </c>
      <c r="B541" t="s">
        <v>1196</v>
      </c>
      <c r="C541" t="s">
        <v>1419</v>
      </c>
      <c r="D541" t="s">
        <v>1411</v>
      </c>
      <c r="E541" t="s">
        <v>1426</v>
      </c>
      <c r="F541" s="1">
        <v>45355</v>
      </c>
      <c r="G541" t="s">
        <v>1413</v>
      </c>
    </row>
    <row r="542" spans="1:7">
      <c r="A542" t="str">
        <f>"070248000"</f>
        <v>070248000</v>
      </c>
      <c r="B542" t="s">
        <v>1197</v>
      </c>
      <c r="C542" t="s">
        <v>1419</v>
      </c>
      <c r="D542" t="s">
        <v>1411</v>
      </c>
      <c r="E542" t="s">
        <v>1412</v>
      </c>
      <c r="F542" s="1">
        <v>45356</v>
      </c>
      <c r="G542" t="s">
        <v>1413</v>
      </c>
    </row>
    <row r="543" spans="1:7">
      <c r="A543" t="str">
        <f>"138708000"</f>
        <v>138708000</v>
      </c>
      <c r="B543" t="s">
        <v>1198</v>
      </c>
      <c r="C543" t="s">
        <v>1420</v>
      </c>
      <c r="D543" t="s">
        <v>1411</v>
      </c>
      <c r="E543" t="s">
        <v>1417</v>
      </c>
      <c r="F543" s="1">
        <v>45335</v>
      </c>
      <c r="G543" t="s">
        <v>1413</v>
      </c>
    </row>
    <row r="544" spans="1:7">
      <c r="A544" t="str">
        <f>"130209000"</f>
        <v>130209000</v>
      </c>
      <c r="B544" t="s">
        <v>1199</v>
      </c>
      <c r="C544" t="s">
        <v>1420</v>
      </c>
      <c r="D544" t="s">
        <v>1411</v>
      </c>
      <c r="E544" t="s">
        <v>1412</v>
      </c>
      <c r="F544" s="1">
        <v>45357</v>
      </c>
      <c r="G544" t="s">
        <v>1413</v>
      </c>
    </row>
    <row r="545" spans="1:7">
      <c r="A545" t="str">
        <f>"078256000"</f>
        <v>078256000</v>
      </c>
      <c r="B545" t="s">
        <v>1200</v>
      </c>
      <c r="C545" t="s">
        <v>1419</v>
      </c>
      <c r="D545" t="s">
        <v>1411</v>
      </c>
      <c r="E545" t="s">
        <v>1412</v>
      </c>
      <c r="F545" s="1">
        <v>45341</v>
      </c>
      <c r="G545" t="s">
        <v>1413</v>
      </c>
    </row>
    <row r="546" spans="1:7">
      <c r="A546" t="str">
        <f>"130240000"</f>
        <v>130240000</v>
      </c>
      <c r="B546" t="s">
        <v>1201</v>
      </c>
      <c r="C546" t="s">
        <v>1420</v>
      </c>
      <c r="D546" t="s">
        <v>1411</v>
      </c>
      <c r="E546" t="s">
        <v>1421</v>
      </c>
      <c r="F546" s="1">
        <v>45348</v>
      </c>
      <c r="G546" t="s">
        <v>1413</v>
      </c>
    </row>
    <row r="547" spans="1:7">
      <c r="A547" t="str">
        <f>"070371000"</f>
        <v>070371000</v>
      </c>
      <c r="B547" t="s">
        <v>1202</v>
      </c>
      <c r="C547" t="s">
        <v>1419</v>
      </c>
      <c r="D547" t="s">
        <v>1411</v>
      </c>
      <c r="E547" t="s">
        <v>1412</v>
      </c>
      <c r="F547" s="1">
        <v>45349</v>
      </c>
      <c r="G547" t="s">
        <v>1413</v>
      </c>
    </row>
    <row r="548" spans="1:7">
      <c r="A548" t="str">
        <f>"098746000"</f>
        <v>098746000</v>
      </c>
      <c r="B548" t="s">
        <v>1204</v>
      </c>
      <c r="C548" t="s">
        <v>1432</v>
      </c>
      <c r="D548" t="s">
        <v>1411</v>
      </c>
      <c r="E548" t="s">
        <v>1417</v>
      </c>
      <c r="F548" s="1">
        <v>45145</v>
      </c>
      <c r="G548" t="s">
        <v>1413</v>
      </c>
    </row>
    <row r="549" spans="1:7">
      <c r="A549" t="str">
        <f>"090210000"</f>
        <v>090210000</v>
      </c>
      <c r="B549" t="s">
        <v>1205</v>
      </c>
      <c r="C549" t="s">
        <v>1432</v>
      </c>
      <c r="D549" t="s">
        <v>1411</v>
      </c>
      <c r="E549" t="s">
        <v>1415</v>
      </c>
      <c r="F549" s="1">
        <v>45355</v>
      </c>
      <c r="G549" t="s">
        <v>1413</v>
      </c>
    </row>
    <row r="550" spans="1:7">
      <c r="A550" t="str">
        <f>"020268000"</f>
        <v>020268000</v>
      </c>
      <c r="B550" t="s">
        <v>1206</v>
      </c>
      <c r="C550" t="s">
        <v>1428</v>
      </c>
      <c r="D550" t="s">
        <v>1411</v>
      </c>
      <c r="E550" t="s">
        <v>1418</v>
      </c>
      <c r="F550" s="1">
        <v>45307</v>
      </c>
      <c r="G550" t="s">
        <v>1413</v>
      </c>
    </row>
    <row r="551" spans="1:7">
      <c r="A551" t="str">
        <f>"130315000"</f>
        <v>130315000</v>
      </c>
      <c r="B551" t="s">
        <v>1207</v>
      </c>
      <c r="C551" t="s">
        <v>1420</v>
      </c>
      <c r="D551" t="s">
        <v>1411</v>
      </c>
      <c r="E551" t="s">
        <v>1421</v>
      </c>
      <c r="F551" s="1">
        <v>45356</v>
      </c>
      <c r="G551" t="s">
        <v>1413</v>
      </c>
    </row>
    <row r="552" spans="1:7">
      <c r="A552" t="str">
        <f>"078566000"</f>
        <v>078566000</v>
      </c>
      <c r="B552" t="s">
        <v>1209</v>
      </c>
      <c r="C552" t="s">
        <v>1419</v>
      </c>
      <c r="D552" t="s">
        <v>1411</v>
      </c>
      <c r="E552" t="s">
        <v>1417</v>
      </c>
      <c r="F552" s="1">
        <v>45335</v>
      </c>
      <c r="G552" t="s">
        <v>1413</v>
      </c>
    </row>
    <row r="553" spans="1:7">
      <c r="A553" t="str">
        <f>"078914000"</f>
        <v>078914000</v>
      </c>
      <c r="B553" t="s">
        <v>1211</v>
      </c>
      <c r="C553" t="s">
        <v>1419</v>
      </c>
      <c r="D553" t="s">
        <v>1411</v>
      </c>
      <c r="E553" t="s">
        <v>1417</v>
      </c>
      <c r="F553" s="1">
        <v>45335</v>
      </c>
      <c r="G553" t="s">
        <v>1413</v>
      </c>
    </row>
    <row r="554" spans="1:7">
      <c r="A554" t="str">
        <f>"138752000"</f>
        <v>138752000</v>
      </c>
      <c r="B554" t="s">
        <v>1212</v>
      </c>
      <c r="C554" t="s">
        <v>1420</v>
      </c>
      <c r="D554" t="s">
        <v>1411</v>
      </c>
      <c r="E554" t="s">
        <v>1412</v>
      </c>
      <c r="F554" s="1">
        <v>45355</v>
      </c>
      <c r="G554" t="s">
        <v>1413</v>
      </c>
    </row>
    <row r="555" spans="1:7">
      <c r="A555" t="str">
        <f>"078625000"</f>
        <v>078625000</v>
      </c>
      <c r="B555" t="s">
        <v>1213</v>
      </c>
      <c r="C555" t="s">
        <v>1419</v>
      </c>
      <c r="D555" t="s">
        <v>1411</v>
      </c>
      <c r="E555" t="s">
        <v>1412</v>
      </c>
      <c r="F555" s="1">
        <v>45341</v>
      </c>
      <c r="G555" t="s">
        <v>1413</v>
      </c>
    </row>
    <row r="556" spans="1:7">
      <c r="A556" t="str">
        <f>"090205000"</f>
        <v>090205000</v>
      </c>
      <c r="B556" t="s">
        <v>1214</v>
      </c>
      <c r="C556" t="s">
        <v>1432</v>
      </c>
      <c r="D556" t="s">
        <v>1411</v>
      </c>
      <c r="E556" t="s">
        <v>1412</v>
      </c>
      <c r="F556" s="1">
        <v>45341</v>
      </c>
      <c r="G556" t="s">
        <v>1413</v>
      </c>
    </row>
    <row r="557" spans="1:7">
      <c r="A557" t="str">
        <f>"050305000"</f>
        <v>050305000</v>
      </c>
      <c r="B557" t="s">
        <v>1215</v>
      </c>
      <c r="C557" t="s">
        <v>1433</v>
      </c>
      <c r="D557" t="s">
        <v>1411</v>
      </c>
      <c r="E557" t="s">
        <v>1415</v>
      </c>
      <c r="F557" s="1">
        <v>45359</v>
      </c>
      <c r="G557" t="s">
        <v>1413</v>
      </c>
    </row>
    <row r="558" spans="1:7">
      <c r="A558" t="str">
        <f>"078622000"</f>
        <v>078622000</v>
      </c>
      <c r="B558" t="s">
        <v>1216</v>
      </c>
      <c r="C558" t="s">
        <v>1419</v>
      </c>
      <c r="D558" t="s">
        <v>1411</v>
      </c>
      <c r="E558" t="s">
        <v>1412</v>
      </c>
      <c r="F558" s="1">
        <v>45341</v>
      </c>
      <c r="G558" t="s">
        <v>1413</v>
      </c>
    </row>
    <row r="559" spans="1:7">
      <c r="A559" t="str">
        <f>"140411000"</f>
        <v>140411000</v>
      </c>
      <c r="B559" t="s">
        <v>1217</v>
      </c>
      <c r="C559" t="s">
        <v>1425</v>
      </c>
      <c r="D559" t="s">
        <v>1411</v>
      </c>
      <c r="E559" t="s">
        <v>1418</v>
      </c>
      <c r="F559" s="1">
        <v>45287</v>
      </c>
      <c r="G559" t="s">
        <v>1413</v>
      </c>
    </row>
    <row r="560" spans="1:7">
      <c r="A560" t="str">
        <f>"120425000"</f>
        <v>120425000</v>
      </c>
      <c r="B560" t="s">
        <v>1218</v>
      </c>
      <c r="C560" t="s">
        <v>1436</v>
      </c>
      <c r="D560" t="s">
        <v>1411</v>
      </c>
      <c r="E560" t="s">
        <v>1417</v>
      </c>
      <c r="F560" s="1">
        <v>45301</v>
      </c>
      <c r="G560" t="s">
        <v>1413</v>
      </c>
    </row>
    <row r="561" spans="1:7">
      <c r="A561" t="str">
        <f>"078599000"</f>
        <v>078599000</v>
      </c>
      <c r="B561" t="s">
        <v>1219</v>
      </c>
      <c r="C561" t="s">
        <v>1419</v>
      </c>
      <c r="D561" t="s">
        <v>1411</v>
      </c>
      <c r="E561" t="s">
        <v>1417</v>
      </c>
      <c r="F561" s="1">
        <v>45335</v>
      </c>
      <c r="G561" t="s">
        <v>1413</v>
      </c>
    </row>
    <row r="562" spans="1:7">
      <c r="A562" t="str">
        <f>"078578000"</f>
        <v>078578000</v>
      </c>
      <c r="B562" t="s">
        <v>1221</v>
      </c>
      <c r="C562" t="s">
        <v>1419</v>
      </c>
      <c r="D562" t="s">
        <v>1411</v>
      </c>
      <c r="E562" t="s">
        <v>1417</v>
      </c>
      <c r="F562" s="1">
        <v>45335</v>
      </c>
      <c r="G562" t="s">
        <v>1413</v>
      </c>
    </row>
    <row r="563" spans="1:7">
      <c r="A563" t="str">
        <f>"108779000"</f>
        <v>108779000</v>
      </c>
      <c r="B563" t="s">
        <v>1222</v>
      </c>
      <c r="C563" t="s">
        <v>1414</v>
      </c>
      <c r="D563" t="s">
        <v>1411</v>
      </c>
      <c r="E563" t="s">
        <v>1417</v>
      </c>
      <c r="F563" s="1">
        <v>45335</v>
      </c>
      <c r="G563" t="s">
        <v>1413</v>
      </c>
    </row>
    <row r="564" spans="1:7">
      <c r="A564" t="str">
        <f>"078228000"</f>
        <v>078228000</v>
      </c>
      <c r="B564" t="s">
        <v>1224</v>
      </c>
      <c r="C564" t="s">
        <v>1419</v>
      </c>
      <c r="D564" t="s">
        <v>1411</v>
      </c>
      <c r="E564" t="s">
        <v>1415</v>
      </c>
      <c r="F564" s="1">
        <v>45359</v>
      </c>
      <c r="G564" t="s">
        <v>1413</v>
      </c>
    </row>
    <row r="565" spans="1:7">
      <c r="A565" t="str">
        <f>"020221000"</f>
        <v>020221000</v>
      </c>
      <c r="B565" t="s">
        <v>1225</v>
      </c>
      <c r="C565" t="s">
        <v>1428</v>
      </c>
      <c r="D565" t="s">
        <v>1411</v>
      </c>
      <c r="E565" t="s">
        <v>1418</v>
      </c>
      <c r="F565" s="1">
        <v>45350</v>
      </c>
      <c r="G565" t="s">
        <v>1413</v>
      </c>
    </row>
    <row r="566" spans="1:7">
      <c r="A566" t="str">
        <f>"010201000"</f>
        <v>010201000</v>
      </c>
      <c r="B566" t="s">
        <v>1226</v>
      </c>
      <c r="C566" t="s">
        <v>1424</v>
      </c>
      <c r="D566" t="s">
        <v>1411</v>
      </c>
      <c r="E566" t="s">
        <v>1426</v>
      </c>
      <c r="F566" s="1">
        <v>45358</v>
      </c>
      <c r="G566" t="s">
        <v>1413</v>
      </c>
    </row>
    <row r="567" spans="1:7">
      <c r="A567" t="str">
        <f>"110424000"</f>
        <v>110424000</v>
      </c>
      <c r="B567" t="s">
        <v>1227</v>
      </c>
      <c r="C567" t="s">
        <v>1410</v>
      </c>
      <c r="D567" t="s">
        <v>1411</v>
      </c>
      <c r="E567" t="s">
        <v>1417</v>
      </c>
      <c r="F567" s="1">
        <v>45335</v>
      </c>
      <c r="G567" t="s">
        <v>1413</v>
      </c>
    </row>
    <row r="568" spans="1:7">
      <c r="A568" t="str">
        <f>"078634000"</f>
        <v>078634000</v>
      </c>
      <c r="B568" t="s">
        <v>1228</v>
      </c>
      <c r="C568" t="s">
        <v>1419</v>
      </c>
      <c r="D568" t="s">
        <v>1411</v>
      </c>
      <c r="E568" t="s">
        <v>1412</v>
      </c>
      <c r="F568" s="1">
        <v>45344</v>
      </c>
      <c r="G568" t="s">
        <v>1413</v>
      </c>
    </row>
    <row r="569" spans="1:7">
      <c r="A569" t="str">
        <f>"078781000"</f>
        <v>078781000</v>
      </c>
      <c r="B569" t="s">
        <v>1229</v>
      </c>
      <c r="C569" t="s">
        <v>1419</v>
      </c>
      <c r="D569" t="s">
        <v>1411</v>
      </c>
      <c r="E569" t="s">
        <v>1417</v>
      </c>
      <c r="F569" s="1">
        <v>45335</v>
      </c>
      <c r="G569" t="s">
        <v>1413</v>
      </c>
    </row>
    <row r="570" spans="1:7">
      <c r="A570" t="str">
        <f>"108227000"</f>
        <v>108227000</v>
      </c>
      <c r="B570" t="s">
        <v>1231</v>
      </c>
      <c r="C570" t="s">
        <v>1414</v>
      </c>
      <c r="D570" t="s">
        <v>1411</v>
      </c>
      <c r="E570" t="s">
        <v>1417</v>
      </c>
      <c r="F570" s="1">
        <v>45169</v>
      </c>
      <c r="G570" t="s">
        <v>1413</v>
      </c>
    </row>
    <row r="571" spans="1:7">
      <c r="A571" t="str">
        <f>"078924000"</f>
        <v>078924000</v>
      </c>
      <c r="B571" t="s">
        <v>1232</v>
      </c>
      <c r="C571" t="s">
        <v>1419</v>
      </c>
      <c r="D571" t="s">
        <v>1411</v>
      </c>
      <c r="E571" t="s">
        <v>1412</v>
      </c>
      <c r="F571" s="1">
        <v>45351</v>
      </c>
      <c r="G571" t="s">
        <v>1413</v>
      </c>
    </row>
    <row r="572" spans="1:7">
      <c r="A572" t="str">
        <f>"100212000"</f>
        <v>100212000</v>
      </c>
      <c r="B572" t="s">
        <v>1233</v>
      </c>
      <c r="C572" t="s">
        <v>1414</v>
      </c>
      <c r="D572" t="s">
        <v>1411</v>
      </c>
      <c r="E572" t="s">
        <v>1417</v>
      </c>
      <c r="F572" s="1">
        <v>45239</v>
      </c>
      <c r="G572" t="s">
        <v>1413</v>
      </c>
    </row>
    <row r="573" spans="1:7">
      <c r="A573" t="str">
        <f>"110215000"</f>
        <v>110215000</v>
      </c>
      <c r="B573" t="s">
        <v>1234</v>
      </c>
      <c r="C573" t="s">
        <v>1410</v>
      </c>
      <c r="D573" t="s">
        <v>1411</v>
      </c>
      <c r="E573" t="s">
        <v>1417</v>
      </c>
      <c r="F573" s="1">
        <v>45247</v>
      </c>
      <c r="G573" t="s">
        <v>1413</v>
      </c>
    </row>
    <row r="574" spans="1:7">
      <c r="A574" t="str">
        <f>"078237000"</f>
        <v>078237000</v>
      </c>
      <c r="B574" t="s">
        <v>1235</v>
      </c>
      <c r="C574" t="s">
        <v>1419</v>
      </c>
      <c r="D574" t="s">
        <v>1411</v>
      </c>
      <c r="E574" t="s">
        <v>1412</v>
      </c>
      <c r="F574" s="1">
        <v>45344</v>
      </c>
      <c r="G574" t="s">
        <v>1413</v>
      </c>
    </row>
    <row r="575" spans="1:7">
      <c r="A575" t="str">
        <f>"100213000"</f>
        <v>100213000</v>
      </c>
      <c r="B575" t="s">
        <v>1236</v>
      </c>
      <c r="C575" t="s">
        <v>1414</v>
      </c>
      <c r="D575" t="s">
        <v>1411</v>
      </c>
      <c r="E575" t="s">
        <v>1426</v>
      </c>
      <c r="F575" s="1">
        <v>45359</v>
      </c>
      <c r="G575" t="s">
        <v>1413</v>
      </c>
    </row>
    <row r="576" spans="1:7">
      <c r="A576" t="str">
        <f>"088702000"</f>
        <v>088702000</v>
      </c>
      <c r="B576" t="s">
        <v>1237</v>
      </c>
      <c r="C576" t="s">
        <v>1416</v>
      </c>
      <c r="D576" t="s">
        <v>1411</v>
      </c>
      <c r="E576" t="s">
        <v>1412</v>
      </c>
      <c r="F576" s="1">
        <v>45352</v>
      </c>
      <c r="G576" t="s">
        <v>1413</v>
      </c>
    </row>
    <row r="577" spans="1:7">
      <c r="A577" t="str">
        <f>"078761000"</f>
        <v>078761000</v>
      </c>
      <c r="B577" t="s">
        <v>1239</v>
      </c>
      <c r="C577" t="s">
        <v>1419</v>
      </c>
      <c r="D577" t="s">
        <v>1411</v>
      </c>
      <c r="E577" t="s">
        <v>1412</v>
      </c>
      <c r="F577" s="1">
        <v>45351</v>
      </c>
      <c r="G577" t="s">
        <v>1413</v>
      </c>
    </row>
    <row r="578" spans="1:7">
      <c r="A578" t="str">
        <f>"070403000"</f>
        <v>070403000</v>
      </c>
      <c r="B578" t="s">
        <v>1240</v>
      </c>
      <c r="C578" t="s">
        <v>1419</v>
      </c>
      <c r="D578" t="s">
        <v>1411</v>
      </c>
      <c r="E578" t="s">
        <v>1418</v>
      </c>
      <c r="F578" s="1">
        <v>45349</v>
      </c>
      <c r="G578" t="s">
        <v>1413</v>
      </c>
    </row>
    <row r="579" spans="1:7">
      <c r="A579" t="str">
        <f>"070513000"</f>
        <v>070513000</v>
      </c>
      <c r="B579" t="s">
        <v>1242</v>
      </c>
      <c r="C579" t="s">
        <v>1419</v>
      </c>
      <c r="D579" t="s">
        <v>1411</v>
      </c>
      <c r="E579" t="s">
        <v>1415</v>
      </c>
      <c r="F579" s="1">
        <v>45355</v>
      </c>
      <c r="G579" t="s">
        <v>1413</v>
      </c>
    </row>
    <row r="580" spans="1:7">
      <c r="A580" t="str">
        <f>"000000000"</f>
        <v>000000000</v>
      </c>
      <c r="B580" t="s">
        <v>1244</v>
      </c>
      <c r="C580" t="s">
        <v>1424</v>
      </c>
      <c r="D580" t="s">
        <v>1411</v>
      </c>
      <c r="E580" t="s">
        <v>1427</v>
      </c>
      <c r="F580" s="1">
        <v>44932</v>
      </c>
      <c r="G580" t="s">
        <v>1423</v>
      </c>
    </row>
    <row r="581" spans="1:7">
      <c r="A581" t="str">
        <f>"050204000"</f>
        <v>050204000</v>
      </c>
      <c r="B581" t="s">
        <v>1245</v>
      </c>
      <c r="C581" t="s">
        <v>1433</v>
      </c>
      <c r="D581" t="s">
        <v>1411</v>
      </c>
      <c r="E581" t="s">
        <v>1412</v>
      </c>
      <c r="F581" s="1">
        <v>45357</v>
      </c>
      <c r="G581" t="s">
        <v>1413</v>
      </c>
    </row>
    <row r="582" spans="1:7">
      <c r="A582" t="str">
        <f>"078613000"</f>
        <v>078613000</v>
      </c>
      <c r="B582" t="s">
        <v>1246</v>
      </c>
      <c r="C582" t="s">
        <v>1419</v>
      </c>
      <c r="D582" t="s">
        <v>1411</v>
      </c>
      <c r="E582" t="s">
        <v>1412</v>
      </c>
      <c r="F582" s="1">
        <v>45357</v>
      </c>
      <c r="G582" t="s">
        <v>1413</v>
      </c>
    </row>
    <row r="583" spans="1:7">
      <c r="A583" t="str">
        <f>"108722000"</f>
        <v>108722000</v>
      </c>
      <c r="B583" t="s">
        <v>1247</v>
      </c>
      <c r="C583" t="s">
        <v>1414</v>
      </c>
      <c r="D583" t="s">
        <v>1411</v>
      </c>
      <c r="E583" t="s">
        <v>1412</v>
      </c>
      <c r="F583" s="1">
        <v>45348</v>
      </c>
      <c r="G583" t="s">
        <v>1413</v>
      </c>
    </row>
    <row r="584" spans="1:7">
      <c r="A584" t="str">
        <f>"078213000"</f>
        <v>078213000</v>
      </c>
      <c r="B584" t="s">
        <v>1249</v>
      </c>
      <c r="C584" t="s">
        <v>1419</v>
      </c>
      <c r="D584" t="s">
        <v>1411</v>
      </c>
      <c r="E584" t="s">
        <v>1426</v>
      </c>
      <c r="F584" s="1">
        <v>45349</v>
      </c>
      <c r="G584" t="s">
        <v>1413</v>
      </c>
    </row>
    <row r="585" spans="1:7">
      <c r="A585" t="str">
        <f>"118717000"</f>
        <v>118717000</v>
      </c>
      <c r="B585" t="s">
        <v>1250</v>
      </c>
      <c r="C585" t="s">
        <v>1410</v>
      </c>
      <c r="D585" t="s">
        <v>1411</v>
      </c>
      <c r="E585" t="s">
        <v>1412</v>
      </c>
      <c r="F585" s="1">
        <v>45344</v>
      </c>
      <c r="G585" t="s">
        <v>1413</v>
      </c>
    </row>
    <row r="586" spans="1:7">
      <c r="A586" t="str">
        <f>"078561000"</f>
        <v>078561000</v>
      </c>
      <c r="B586" t="s">
        <v>1251</v>
      </c>
      <c r="C586" t="s">
        <v>1419</v>
      </c>
      <c r="D586" t="s">
        <v>1411</v>
      </c>
      <c r="E586" t="s">
        <v>1412</v>
      </c>
      <c r="F586" s="1">
        <v>45349</v>
      </c>
      <c r="G586" t="s">
        <v>1413</v>
      </c>
    </row>
    <row r="587" spans="1:7">
      <c r="A587" t="str">
        <f>"078206000"</f>
        <v>078206000</v>
      </c>
      <c r="B587" t="s">
        <v>1252</v>
      </c>
      <c r="C587" t="s">
        <v>1419</v>
      </c>
      <c r="D587" t="s">
        <v>1411</v>
      </c>
      <c r="E587" t="s">
        <v>1412</v>
      </c>
      <c r="F587" s="1">
        <v>45336</v>
      </c>
      <c r="G587" t="s">
        <v>1413</v>
      </c>
    </row>
    <row r="588" spans="1:7">
      <c r="A588" t="str">
        <f>"078411000"</f>
        <v>078411000</v>
      </c>
      <c r="B588" t="s">
        <v>1254</v>
      </c>
      <c r="C588" t="s">
        <v>1419</v>
      </c>
      <c r="D588" t="s">
        <v>1411</v>
      </c>
      <c r="E588" t="s">
        <v>1417</v>
      </c>
      <c r="F588" s="1">
        <v>45299</v>
      </c>
      <c r="G588" t="s">
        <v>1413</v>
      </c>
    </row>
    <row r="589" spans="1:7">
      <c r="A589" t="str">
        <f>"078911000"</f>
        <v>078911000</v>
      </c>
      <c r="B589" t="s">
        <v>1256</v>
      </c>
      <c r="C589" t="s">
        <v>1419</v>
      </c>
      <c r="D589" t="s">
        <v>1411</v>
      </c>
      <c r="E589" t="s">
        <v>1417</v>
      </c>
      <c r="F589" s="1">
        <v>45335</v>
      </c>
      <c r="G589" t="s">
        <v>1413</v>
      </c>
    </row>
    <row r="590" spans="1:7">
      <c r="A590" t="str">
        <f>"070417000"</f>
        <v>070417000</v>
      </c>
      <c r="B590" t="s">
        <v>1257</v>
      </c>
      <c r="C590" t="s">
        <v>1419</v>
      </c>
      <c r="D590" t="s">
        <v>1411</v>
      </c>
      <c r="E590" t="s">
        <v>1412</v>
      </c>
      <c r="F590" s="1">
        <v>45338</v>
      </c>
      <c r="G590" t="s">
        <v>1413</v>
      </c>
    </row>
    <row r="591" spans="1:7">
      <c r="A591" t="str">
        <f>"070514000"</f>
        <v>070514000</v>
      </c>
      <c r="B591" t="s">
        <v>1259</v>
      </c>
      <c r="C591" t="s">
        <v>1419</v>
      </c>
      <c r="D591" t="s">
        <v>1411</v>
      </c>
      <c r="E591" t="s">
        <v>1412</v>
      </c>
      <c r="F591" s="1">
        <v>45352</v>
      </c>
      <c r="G591" t="s">
        <v>1413</v>
      </c>
    </row>
    <row r="592" spans="1:7">
      <c r="A592" t="str">
        <f>"110422000"</f>
        <v>110422000</v>
      </c>
      <c r="B592" t="s">
        <v>1260</v>
      </c>
      <c r="C592" t="s">
        <v>1410</v>
      </c>
      <c r="D592" t="s">
        <v>1411</v>
      </c>
      <c r="E592" t="s">
        <v>1417</v>
      </c>
      <c r="F592" s="1">
        <v>45260</v>
      </c>
      <c r="G592" t="s">
        <v>1413</v>
      </c>
    </row>
    <row r="593" spans="1:7">
      <c r="A593" t="str">
        <f>"020201000"</f>
        <v>020201000</v>
      </c>
      <c r="B593" t="s">
        <v>1261</v>
      </c>
      <c r="C593" t="s">
        <v>1428</v>
      </c>
      <c r="D593" t="s">
        <v>1411</v>
      </c>
      <c r="E593" t="s">
        <v>1417</v>
      </c>
      <c r="F593" s="1">
        <v>45335</v>
      </c>
      <c r="G593" t="s">
        <v>1413</v>
      </c>
    </row>
    <row r="594" spans="1:7">
      <c r="A594" t="str">
        <f>"040333000"</f>
        <v>040333000</v>
      </c>
      <c r="B594" t="s">
        <v>1262</v>
      </c>
      <c r="C594" t="s">
        <v>1434</v>
      </c>
      <c r="D594" t="s">
        <v>1411</v>
      </c>
      <c r="E594" t="s">
        <v>1417</v>
      </c>
      <c r="F594" s="1">
        <v>45335</v>
      </c>
      <c r="G594" t="s">
        <v>1413</v>
      </c>
    </row>
    <row r="595" spans="1:7">
      <c r="A595" t="str">
        <f>"080412000"</f>
        <v>080412000</v>
      </c>
      <c r="B595" t="s">
        <v>1263</v>
      </c>
      <c r="C595" t="s">
        <v>1416</v>
      </c>
      <c r="D595" t="s">
        <v>1411</v>
      </c>
      <c r="E595" t="s">
        <v>1422</v>
      </c>
      <c r="F595" s="1">
        <v>45356</v>
      </c>
      <c r="G595" t="s">
        <v>1413</v>
      </c>
    </row>
    <row r="596" spans="1:7">
      <c r="A596" t="str">
        <f>"058702000"</f>
        <v>058702000</v>
      </c>
      <c r="B596" t="s">
        <v>1264</v>
      </c>
      <c r="C596" t="s">
        <v>1433</v>
      </c>
      <c r="D596" t="s">
        <v>1411</v>
      </c>
      <c r="E596" t="s">
        <v>1417</v>
      </c>
      <c r="F596" s="1">
        <v>45335</v>
      </c>
      <c r="G596" t="s">
        <v>1413</v>
      </c>
    </row>
    <row r="597" spans="1:7">
      <c r="A597" t="str">
        <f>"078591000"</f>
        <v>078591000</v>
      </c>
      <c r="B597" t="s">
        <v>1266</v>
      </c>
      <c r="C597" t="s">
        <v>1419</v>
      </c>
      <c r="D597" t="s">
        <v>1411</v>
      </c>
      <c r="E597" t="s">
        <v>1426</v>
      </c>
      <c r="F597" s="1">
        <v>45355</v>
      </c>
      <c r="G597" t="s">
        <v>1413</v>
      </c>
    </row>
    <row r="598" spans="1:7">
      <c r="A598" t="str">
        <f>"030215000"</f>
        <v>030215000</v>
      </c>
      <c r="B598" t="s">
        <v>1267</v>
      </c>
      <c r="C598" t="s">
        <v>1430</v>
      </c>
      <c r="D598" t="s">
        <v>1411</v>
      </c>
      <c r="E598" t="s">
        <v>1412</v>
      </c>
      <c r="F598" s="1">
        <v>45357</v>
      </c>
      <c r="G598" t="s">
        <v>1413</v>
      </c>
    </row>
    <row r="599" spans="1:7">
      <c r="A599" t="str">
        <f>"108773000"</f>
        <v>108773000</v>
      </c>
      <c r="B599" t="s">
        <v>1268</v>
      </c>
      <c r="C599" t="s">
        <v>1414</v>
      </c>
      <c r="D599" t="s">
        <v>1411</v>
      </c>
      <c r="E599" t="s">
        <v>1412</v>
      </c>
      <c r="F599" s="1">
        <v>45359</v>
      </c>
      <c r="G599" t="s">
        <v>1413</v>
      </c>
    </row>
    <row r="600" spans="1:7">
      <c r="A600" t="str">
        <f>"108714000"</f>
        <v>108714000</v>
      </c>
      <c r="B600" t="s">
        <v>1269</v>
      </c>
      <c r="C600" t="s">
        <v>1414</v>
      </c>
      <c r="D600" t="s">
        <v>1411</v>
      </c>
      <c r="E600" t="s">
        <v>1412</v>
      </c>
      <c r="F600" s="1">
        <v>45357</v>
      </c>
      <c r="G600" t="s">
        <v>1413</v>
      </c>
    </row>
    <row r="601" spans="1:7">
      <c r="A601" t="str">
        <f>"108768000"</f>
        <v>108768000</v>
      </c>
      <c r="B601" t="s">
        <v>1271</v>
      </c>
      <c r="C601" t="s">
        <v>1414</v>
      </c>
      <c r="D601" t="s">
        <v>1411</v>
      </c>
      <c r="E601" t="s">
        <v>1417</v>
      </c>
      <c r="F601" s="1">
        <v>45335</v>
      </c>
      <c r="G601" t="s">
        <v>1413</v>
      </c>
    </row>
    <row r="602" spans="1:7">
      <c r="A602" t="str">
        <f>"100201000"</f>
        <v>100201000</v>
      </c>
      <c r="B602" t="s">
        <v>1272</v>
      </c>
      <c r="C602" t="s">
        <v>1414</v>
      </c>
      <c r="D602" t="s">
        <v>1411</v>
      </c>
      <c r="E602" t="s">
        <v>1418</v>
      </c>
      <c r="F602" s="1">
        <v>45359</v>
      </c>
      <c r="G602" t="s">
        <v>1413</v>
      </c>
    </row>
    <row r="603" spans="1:7">
      <c r="A603" t="str">
        <f>"108660000"</f>
        <v>108660000</v>
      </c>
      <c r="B603" t="s">
        <v>1274</v>
      </c>
      <c r="C603" t="s">
        <v>1414</v>
      </c>
      <c r="D603" t="s">
        <v>1411</v>
      </c>
      <c r="E603" t="s">
        <v>1417</v>
      </c>
      <c r="F603" s="1">
        <v>45281</v>
      </c>
      <c r="G603" t="s">
        <v>1413</v>
      </c>
    </row>
    <row r="604" spans="1:7">
      <c r="A604" t="str">
        <f>"078630000"</f>
        <v>078630000</v>
      </c>
      <c r="B604" t="s">
        <v>1275</v>
      </c>
      <c r="C604" t="s">
        <v>1419</v>
      </c>
      <c r="D604" t="s">
        <v>1411</v>
      </c>
      <c r="E604" t="s">
        <v>1417</v>
      </c>
      <c r="F604" s="1">
        <v>45335</v>
      </c>
      <c r="G604" t="s">
        <v>1413</v>
      </c>
    </row>
    <row r="605" spans="1:7">
      <c r="A605" t="str">
        <f>"070462000"</f>
        <v>070462000</v>
      </c>
      <c r="B605" t="s">
        <v>1276</v>
      </c>
      <c r="C605" t="s">
        <v>1419</v>
      </c>
      <c r="D605" t="s">
        <v>1411</v>
      </c>
      <c r="E605" t="s">
        <v>1412</v>
      </c>
      <c r="F605" s="1">
        <v>45355</v>
      </c>
      <c r="G605" t="s">
        <v>1413</v>
      </c>
    </row>
    <row r="606" spans="1:7">
      <c r="A606" t="str">
        <f>"100220000"</f>
        <v>100220000</v>
      </c>
      <c r="B606" t="s">
        <v>1277</v>
      </c>
      <c r="C606" t="s">
        <v>1414</v>
      </c>
      <c r="D606" t="s">
        <v>1411</v>
      </c>
      <c r="E606" t="s">
        <v>1417</v>
      </c>
      <c r="F606" s="1">
        <v>45296</v>
      </c>
      <c r="G606" t="s">
        <v>1413</v>
      </c>
    </row>
    <row r="607" spans="1:7">
      <c r="A607" t="str">
        <f>"080322000"</f>
        <v>080322000</v>
      </c>
      <c r="B607" t="s">
        <v>1278</v>
      </c>
      <c r="C607" t="s">
        <v>1416</v>
      </c>
      <c r="D607" t="s">
        <v>1411</v>
      </c>
      <c r="E607" t="s">
        <v>1418</v>
      </c>
      <c r="F607" s="1">
        <v>45336</v>
      </c>
      <c r="G607" t="s">
        <v>1413</v>
      </c>
    </row>
    <row r="608" spans="1:7">
      <c r="A608" t="str">
        <f>"078964000"</f>
        <v>078964000</v>
      </c>
      <c r="B608" t="s">
        <v>1279</v>
      </c>
      <c r="C608" t="s">
        <v>1419</v>
      </c>
      <c r="D608" t="s">
        <v>1411</v>
      </c>
      <c r="E608" t="s">
        <v>1412</v>
      </c>
      <c r="F608" s="1">
        <v>45349</v>
      </c>
      <c r="G608" t="s">
        <v>1413</v>
      </c>
    </row>
    <row r="609" spans="1:7">
      <c r="A609" t="str">
        <f>"020522000"</f>
        <v>020522000</v>
      </c>
      <c r="B609" t="s">
        <v>1281</v>
      </c>
      <c r="C609" t="s">
        <v>1428</v>
      </c>
      <c r="D609" t="s">
        <v>1411</v>
      </c>
      <c r="E609" t="s">
        <v>1417</v>
      </c>
      <c r="F609" s="1">
        <v>45335</v>
      </c>
      <c r="G609" t="s">
        <v>1413</v>
      </c>
    </row>
    <row r="610" spans="1:7">
      <c r="A610" t="str">
        <f>"078104000"</f>
        <v>078104000</v>
      </c>
      <c r="B610" t="s">
        <v>1283</v>
      </c>
      <c r="C610" t="s">
        <v>1419</v>
      </c>
      <c r="D610" t="s">
        <v>1411</v>
      </c>
      <c r="E610" t="s">
        <v>1422</v>
      </c>
      <c r="F610" s="1">
        <v>45356</v>
      </c>
      <c r="G610" t="s">
        <v>1413</v>
      </c>
    </row>
    <row r="611" spans="1:7">
      <c r="A611" t="str">
        <f>"078562000"</f>
        <v>078562000</v>
      </c>
      <c r="B611" t="s">
        <v>1284</v>
      </c>
      <c r="C611" t="s">
        <v>1419</v>
      </c>
      <c r="D611" t="s">
        <v>1411</v>
      </c>
      <c r="E611" t="s">
        <v>1417</v>
      </c>
      <c r="F611" s="1">
        <v>45335</v>
      </c>
      <c r="G611" t="s">
        <v>1413</v>
      </c>
    </row>
    <row r="612" spans="1:7">
      <c r="A612" t="str">
        <f>"078984000"</f>
        <v>078984000</v>
      </c>
      <c r="B612" t="s">
        <v>1286</v>
      </c>
      <c r="C612" t="s">
        <v>1419</v>
      </c>
      <c r="D612" t="s">
        <v>1411</v>
      </c>
      <c r="E612" t="s">
        <v>1426</v>
      </c>
      <c r="F612" s="1">
        <v>45355</v>
      </c>
      <c r="G612" t="s">
        <v>1413</v>
      </c>
    </row>
    <row r="613" spans="1:7">
      <c r="A613" t="str">
        <f>"010309000"</f>
        <v>010309000</v>
      </c>
      <c r="B613" t="s">
        <v>1287</v>
      </c>
      <c r="C613" t="s">
        <v>1424</v>
      </c>
      <c r="D613" t="s">
        <v>1411</v>
      </c>
      <c r="E613" t="s">
        <v>1417</v>
      </c>
      <c r="F613" s="1">
        <v>45279</v>
      </c>
      <c r="G613" t="s">
        <v>1413</v>
      </c>
    </row>
    <row r="614" spans="1:7">
      <c r="A614" t="str">
        <f>"078410000"</f>
        <v>078410000</v>
      </c>
      <c r="B614" t="s">
        <v>1288</v>
      </c>
      <c r="C614" t="s">
        <v>1419</v>
      </c>
      <c r="D614" t="s">
        <v>1411</v>
      </c>
      <c r="E614" t="s">
        <v>1412</v>
      </c>
      <c r="F614" s="1">
        <v>45336</v>
      </c>
      <c r="G614" t="s">
        <v>1413</v>
      </c>
    </row>
    <row r="615" spans="1:7">
      <c r="A615" t="str">
        <f>"078715000"</f>
        <v>078715000</v>
      </c>
      <c r="B615" t="s">
        <v>1289</v>
      </c>
      <c r="C615" t="s">
        <v>1419</v>
      </c>
      <c r="D615" t="s">
        <v>1411</v>
      </c>
      <c r="E615" t="s">
        <v>1417</v>
      </c>
      <c r="F615" s="1">
        <v>45335</v>
      </c>
      <c r="G615" t="s">
        <v>1413</v>
      </c>
    </row>
    <row r="616" spans="1:7">
      <c r="A616" t="str">
        <f>"078960000"</f>
        <v>078960000</v>
      </c>
      <c r="B616" t="s">
        <v>1291</v>
      </c>
      <c r="C616" t="s">
        <v>1419</v>
      </c>
      <c r="D616" t="s">
        <v>1411</v>
      </c>
      <c r="E616" t="s">
        <v>1412</v>
      </c>
      <c r="F616" s="1">
        <v>45030</v>
      </c>
      <c r="G616" t="s">
        <v>1423</v>
      </c>
    </row>
    <row r="617" spans="1:7">
      <c r="A617" t="str">
        <f>"078224000"</f>
        <v>078224000</v>
      </c>
      <c r="B617" t="s">
        <v>1292</v>
      </c>
      <c r="C617" t="s">
        <v>1419</v>
      </c>
      <c r="D617" t="s">
        <v>1411</v>
      </c>
      <c r="E617" t="s">
        <v>1422</v>
      </c>
      <c r="F617" s="1">
        <v>45358</v>
      </c>
      <c r="G617" t="s">
        <v>1413</v>
      </c>
    </row>
    <row r="618" spans="1:7">
      <c r="A618" t="str">
        <f>"070406000"</f>
        <v>070406000</v>
      </c>
      <c r="B618" t="s">
        <v>1293</v>
      </c>
      <c r="C618" t="s">
        <v>1419</v>
      </c>
      <c r="D618" t="s">
        <v>1411</v>
      </c>
      <c r="E618" t="s">
        <v>1412</v>
      </c>
      <c r="F618" s="1">
        <v>45357</v>
      </c>
      <c r="G618" t="s">
        <v>1413</v>
      </c>
    </row>
    <row r="619" spans="1:7">
      <c r="A619" t="str">
        <f>"140424000"</f>
        <v>140424000</v>
      </c>
      <c r="B619" t="s">
        <v>1294</v>
      </c>
      <c r="C619" t="s">
        <v>1425</v>
      </c>
      <c r="D619" t="s">
        <v>1411</v>
      </c>
      <c r="E619" t="s">
        <v>1417</v>
      </c>
      <c r="F619" s="1">
        <v>45335</v>
      </c>
      <c r="G619" t="s">
        <v>1413</v>
      </c>
    </row>
    <row r="620" spans="1:7">
      <c r="A620" t="str">
        <f>"150419000"</f>
        <v>150419000</v>
      </c>
      <c r="B620" t="s">
        <v>1295</v>
      </c>
      <c r="C620" t="s">
        <v>1431</v>
      </c>
      <c r="D620" t="s">
        <v>1411</v>
      </c>
      <c r="E620" t="s">
        <v>1417</v>
      </c>
      <c r="F620" s="1">
        <v>45335</v>
      </c>
      <c r="G620" t="s">
        <v>1413</v>
      </c>
    </row>
    <row r="621" spans="1:7">
      <c r="A621" t="str">
        <f>"078935000"</f>
        <v>078935000</v>
      </c>
      <c r="B621" t="s">
        <v>1296</v>
      </c>
      <c r="C621" t="s">
        <v>1419</v>
      </c>
      <c r="D621" t="s">
        <v>1411</v>
      </c>
      <c r="E621" t="s">
        <v>1412</v>
      </c>
      <c r="F621" s="1">
        <v>45349</v>
      </c>
      <c r="G621" t="s">
        <v>1413</v>
      </c>
    </row>
    <row r="622" spans="1:7">
      <c r="A622" t="str">
        <f>"078974000"</f>
        <v>078974000</v>
      </c>
      <c r="B622" t="s">
        <v>1297</v>
      </c>
      <c r="C622" t="s">
        <v>1419</v>
      </c>
      <c r="D622" t="s">
        <v>1411</v>
      </c>
      <c r="E622" t="s">
        <v>1412</v>
      </c>
      <c r="F622" s="1">
        <v>45336</v>
      </c>
      <c r="G622" t="s">
        <v>1413</v>
      </c>
    </row>
    <row r="623" spans="1:7">
      <c r="A623" t="str">
        <f>"078548000"</f>
        <v>078548000</v>
      </c>
      <c r="B623" t="s">
        <v>1298</v>
      </c>
      <c r="C623" t="s">
        <v>1419</v>
      </c>
      <c r="D623" t="s">
        <v>1411</v>
      </c>
      <c r="E623" t="s">
        <v>1412</v>
      </c>
      <c r="F623" s="1">
        <v>45357</v>
      </c>
      <c r="G623" t="s">
        <v>1413</v>
      </c>
    </row>
    <row r="624" spans="1:7">
      <c r="A624" t="str">
        <f>"078221000"</f>
        <v>078221000</v>
      </c>
      <c r="B624" t="s">
        <v>1300</v>
      </c>
      <c r="C624" t="s">
        <v>1419</v>
      </c>
      <c r="D624" t="s">
        <v>1411</v>
      </c>
      <c r="E624" t="s">
        <v>1418</v>
      </c>
      <c r="F624" s="1">
        <v>45336</v>
      </c>
      <c r="G624" t="s">
        <v>1413</v>
      </c>
    </row>
    <row r="625" spans="1:7">
      <c r="A625" t="str">
        <f>"090220000"</f>
        <v>090220000</v>
      </c>
      <c r="B625" t="s">
        <v>1301</v>
      </c>
      <c r="C625" t="s">
        <v>1432</v>
      </c>
      <c r="D625" t="s">
        <v>1411</v>
      </c>
      <c r="E625" t="s">
        <v>1417</v>
      </c>
      <c r="F625" s="1">
        <v>45283</v>
      </c>
      <c r="G625" t="s">
        <v>1413</v>
      </c>
    </row>
    <row r="626" spans="1:7">
      <c r="A626" t="str">
        <f>"070209000"</f>
        <v>070209000</v>
      </c>
      <c r="B626" t="s">
        <v>1302</v>
      </c>
      <c r="C626" t="s">
        <v>1419</v>
      </c>
      <c r="D626" t="s">
        <v>1411</v>
      </c>
      <c r="E626" t="s">
        <v>1422</v>
      </c>
      <c r="F626" s="1">
        <v>45357</v>
      </c>
      <c r="G626" t="s">
        <v>1413</v>
      </c>
    </row>
    <row r="627" spans="1:7">
      <c r="A627" t="str">
        <f>"020213000"</f>
        <v>020213000</v>
      </c>
      <c r="B627" t="s">
        <v>1303</v>
      </c>
      <c r="C627" t="s">
        <v>1428</v>
      </c>
      <c r="D627" t="s">
        <v>1411</v>
      </c>
      <c r="E627" t="s">
        <v>1426</v>
      </c>
      <c r="F627" s="1">
        <v>45356</v>
      </c>
      <c r="G627" t="s">
        <v>1413</v>
      </c>
    </row>
    <row r="628" spans="1:7">
      <c r="A628" t="str">
        <f>"030202000"</f>
        <v>030202000</v>
      </c>
      <c r="B628" t="s">
        <v>1304</v>
      </c>
      <c r="C628" t="s">
        <v>1430</v>
      </c>
      <c r="D628" t="s">
        <v>1411</v>
      </c>
      <c r="E628" t="s">
        <v>1417</v>
      </c>
      <c r="F628" s="1">
        <v>45335</v>
      </c>
      <c r="G628" t="s">
        <v>1413</v>
      </c>
    </row>
    <row r="629" spans="1:7">
      <c r="A629" t="str">
        <f>"070407000"</f>
        <v>070407000</v>
      </c>
      <c r="B629" t="s">
        <v>1305</v>
      </c>
      <c r="C629" t="s">
        <v>1419</v>
      </c>
      <c r="D629" t="s">
        <v>1411</v>
      </c>
      <c r="E629" t="s">
        <v>1418</v>
      </c>
      <c r="F629" s="1">
        <v>45310</v>
      </c>
      <c r="G629" t="s">
        <v>1423</v>
      </c>
    </row>
    <row r="630" spans="1:7">
      <c r="A630" t="str">
        <f>"010208000"</f>
        <v>010208000</v>
      </c>
      <c r="B630" t="s">
        <v>1306</v>
      </c>
      <c r="C630" t="s">
        <v>1424</v>
      </c>
      <c r="D630" t="s">
        <v>1411</v>
      </c>
      <c r="E630" t="s">
        <v>1426</v>
      </c>
      <c r="F630" s="1">
        <v>45359</v>
      </c>
      <c r="G630" t="s">
        <v>1413</v>
      </c>
    </row>
    <row r="631" spans="1:7">
      <c r="A631" t="str">
        <f>"090201000"</f>
        <v>090201000</v>
      </c>
      <c r="B631" t="s">
        <v>1307</v>
      </c>
      <c r="C631" t="s">
        <v>1432</v>
      </c>
      <c r="D631" t="s">
        <v>1411</v>
      </c>
      <c r="E631" t="s">
        <v>1417</v>
      </c>
      <c r="F631" s="1">
        <v>45335</v>
      </c>
      <c r="G631" t="s">
        <v>1413</v>
      </c>
    </row>
    <row r="632" spans="1:7">
      <c r="A632" t="str">
        <f>"130352000"</f>
        <v>130352000</v>
      </c>
      <c r="B632" t="s">
        <v>1308</v>
      </c>
      <c r="C632" t="s">
        <v>1420</v>
      </c>
      <c r="D632" t="s">
        <v>1411</v>
      </c>
      <c r="E632" t="s">
        <v>1412</v>
      </c>
      <c r="F632" s="1">
        <v>45336</v>
      </c>
      <c r="G632" t="s">
        <v>1413</v>
      </c>
    </row>
    <row r="633" spans="1:7">
      <c r="A633" t="str">
        <f>"130199000"</f>
        <v>130199000</v>
      </c>
      <c r="B633" t="s">
        <v>1310</v>
      </c>
      <c r="C633" t="s">
        <v>1420</v>
      </c>
      <c r="D633" t="s">
        <v>1411</v>
      </c>
      <c r="E633" t="s">
        <v>1412</v>
      </c>
      <c r="F633" s="1">
        <v>45357</v>
      </c>
      <c r="G633" t="s">
        <v>1413</v>
      </c>
    </row>
    <row r="634" spans="1:7">
      <c r="A634" t="str">
        <f>"211024000"</f>
        <v>211024000</v>
      </c>
      <c r="B634" t="s">
        <v>1312</v>
      </c>
      <c r="C634" t="s">
        <v>1420</v>
      </c>
      <c r="D634" t="s">
        <v>1411</v>
      </c>
      <c r="E634" t="s">
        <v>1417</v>
      </c>
      <c r="F634" s="1">
        <v>45335</v>
      </c>
      <c r="G634" t="s">
        <v>1413</v>
      </c>
    </row>
    <row r="635" spans="1:7">
      <c r="A635" t="str">
        <f>"136014000"</f>
        <v>136014000</v>
      </c>
      <c r="B635" t="s">
        <v>1314</v>
      </c>
      <c r="C635" t="s">
        <v>1420</v>
      </c>
      <c r="D635" t="s">
        <v>1411</v>
      </c>
      <c r="E635" t="s">
        <v>1427</v>
      </c>
      <c r="F635" s="1">
        <v>44984</v>
      </c>
      <c r="G635" t="s">
        <v>1423</v>
      </c>
    </row>
    <row r="636" spans="1:7">
      <c r="A636" t="str">
        <f>"040305000"</f>
        <v>040305000</v>
      </c>
      <c r="B636" t="s">
        <v>1315</v>
      </c>
      <c r="C636" t="s">
        <v>1434</v>
      </c>
      <c r="D636" t="s">
        <v>1411</v>
      </c>
      <c r="E636" t="s">
        <v>1417</v>
      </c>
      <c r="F636" s="1">
        <v>45335</v>
      </c>
      <c r="G636" t="s">
        <v>1413</v>
      </c>
    </row>
    <row r="637" spans="1:7">
      <c r="A637" t="str">
        <f>"088755000"</f>
        <v>088755000</v>
      </c>
      <c r="B637" t="s">
        <v>1316</v>
      </c>
      <c r="C637" t="s">
        <v>1416</v>
      </c>
      <c r="D637" t="s">
        <v>1411</v>
      </c>
      <c r="E637" t="s">
        <v>1422</v>
      </c>
      <c r="F637" s="1">
        <v>45358</v>
      </c>
      <c r="G637" t="s">
        <v>1413</v>
      </c>
    </row>
    <row r="638" spans="1:7">
      <c r="A638" t="str">
        <f>"080313000"</f>
        <v>080313000</v>
      </c>
      <c r="B638" t="s">
        <v>1317</v>
      </c>
      <c r="C638" t="s">
        <v>1416</v>
      </c>
      <c r="D638" t="s">
        <v>1411</v>
      </c>
      <c r="E638" t="s">
        <v>1412</v>
      </c>
      <c r="F638" s="1">
        <v>45357</v>
      </c>
      <c r="G638" t="s">
        <v>1413</v>
      </c>
    </row>
    <row r="639" spans="1:7">
      <c r="A639" t="str">
        <f>"211025000"</f>
        <v>211025000</v>
      </c>
      <c r="B639" t="s">
        <v>1319</v>
      </c>
      <c r="C639" t="s">
        <v>1425</v>
      </c>
      <c r="D639" t="s">
        <v>1411</v>
      </c>
      <c r="E639" t="s">
        <v>1417</v>
      </c>
      <c r="F639" s="1">
        <v>45335</v>
      </c>
      <c r="G639" t="s">
        <v>1413</v>
      </c>
    </row>
    <row r="640" spans="1:7">
      <c r="A640" t="str">
        <f>"146015000"</f>
        <v>146015000</v>
      </c>
      <c r="B640" t="s">
        <v>1321</v>
      </c>
      <c r="C640" t="s">
        <v>1425</v>
      </c>
      <c r="D640" t="s">
        <v>1411</v>
      </c>
      <c r="E640" t="s">
        <v>1412</v>
      </c>
      <c r="F640" s="1">
        <v>45093</v>
      </c>
      <c r="G640" t="s">
        <v>1423</v>
      </c>
    </row>
    <row r="641" spans="1:7">
      <c r="A641" t="str">
        <f>"140401000"</f>
        <v>140401000</v>
      </c>
      <c r="B641" t="s">
        <v>1322</v>
      </c>
      <c r="C641" t="s">
        <v>1425</v>
      </c>
      <c r="D641" t="s">
        <v>1411</v>
      </c>
      <c r="E641" t="s">
        <v>1417</v>
      </c>
      <c r="F641" s="1">
        <v>45260</v>
      </c>
      <c r="G641" t="s">
        <v>1413</v>
      </c>
    </row>
    <row r="642" spans="1:7">
      <c r="A642" t="str">
        <f>"148758000"</f>
        <v>148758000</v>
      </c>
      <c r="B642" t="s">
        <v>1324</v>
      </c>
      <c r="C642" t="s">
        <v>1425</v>
      </c>
      <c r="D642" t="s">
        <v>1411</v>
      </c>
      <c r="E642" t="s">
        <v>1417</v>
      </c>
      <c r="F642" s="1">
        <v>45278</v>
      </c>
      <c r="G642" t="s">
        <v>1413</v>
      </c>
    </row>
    <row r="643" spans="1:7">
      <c r="A643" t="str">
        <f>"140570000"</f>
        <v>140570000</v>
      </c>
      <c r="B643" t="s">
        <v>1326</v>
      </c>
      <c r="C643" t="s">
        <v>1425</v>
      </c>
      <c r="D643" t="s">
        <v>1411</v>
      </c>
      <c r="E643" t="s">
        <v>1422</v>
      </c>
      <c r="F643" s="1">
        <v>45358</v>
      </c>
      <c r="G643" t="s">
        <v>1413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69ac7c7-1a2e-46bd-a988-685139f8f258" xsi:nil="true"/>
    <ITPSPType xmlns="3b3188d5-88b4-48a3-ad42-774970703158" xsi:nil="true"/>
    <lcf76f155ced4ddcb4097134ff3c332f xmlns="3b3188d5-88b4-48a3-ad42-774970703158">
      <Terms xmlns="http://schemas.microsoft.com/office/infopath/2007/PartnerControls"/>
    </lcf76f155ced4ddcb4097134ff3c332f>
    <_dlc_DocId xmlns="cdc67ab9-5d86-4ae1-9e38-cf19cda27fbd">D7HQDT7FZXDF-1126435011-2155732</_dlc_DocId>
    <_dlc_DocIdUrl xmlns="cdc67ab9-5d86-4ae1-9e38-cf19cda27fbd">
      <Url>https://adecloud.sharepoint.com/sites/ADELibrary/_layouts/15/DocIdRedir.aspx?ID=D7HQDT7FZXDF-1126435011-2155732</Url>
      <Description>D7HQDT7FZXDF-1126435011-2155732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0FAC48D43D084B853DC8F3C42375F0" ma:contentTypeVersion="19" ma:contentTypeDescription="Create a new document." ma:contentTypeScope="" ma:versionID="8dfc8372642b708670f2f76004fee843">
  <xsd:schema xmlns:xsd="http://www.w3.org/2001/XMLSchema" xmlns:xs="http://www.w3.org/2001/XMLSchema" xmlns:p="http://schemas.microsoft.com/office/2006/metadata/properties" xmlns:ns2="cdc67ab9-5d86-4ae1-9e38-cf19cda27fbd" xmlns:ns3="3b3188d5-88b4-48a3-ad42-774970703158" xmlns:ns4="f69ac7c7-1a2e-46bd-a988-685139f8f258" targetNamespace="http://schemas.microsoft.com/office/2006/metadata/properties" ma:root="true" ma:fieldsID="19c79a1edb08d7fe6c7289c87a1a9e97" ns2:_="" ns3:_="" ns4:_="">
    <xsd:import namespace="cdc67ab9-5d86-4ae1-9e38-cf19cda27fbd"/>
    <xsd:import namespace="3b3188d5-88b4-48a3-ad42-774970703158"/>
    <xsd:import namespace="f69ac7c7-1a2e-46bd-a988-685139f8f25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lcf76f155ced4ddcb4097134ff3c332f" minOccurs="0"/>
                <xsd:element ref="ns4:TaxCatchAll" minOccurs="0"/>
                <xsd:element ref="ns3:ITPSPTyp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67ab9-5d86-4ae1-9e38-cf19cda27f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188d5-88b4-48a3-ad42-77497070315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ITPSPType" ma:index="27" nillable="true" ma:displayName="IT PSP Type" ma:description="IT PSP Type" ma:format="Dropdown" ma:indexed="true" ma:internalName="ITPSPType">
      <xsd:simpleType>
        <xsd:restriction base="dms:Choice">
          <xsd:enumeration value="Policy"/>
          <xsd:enumeration value="Procedure"/>
          <xsd:enumeration value="Standard"/>
          <xsd:enumeration value="Plan"/>
          <xsd:enumeration value="Summary"/>
          <xsd:enumeration value="Reference"/>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fe555931-021a-400d-80a5-00bcf0d19699}" ma:internalName="TaxCatchAll" ma:showField="CatchAllData" ma:web="cdc67ab9-5d86-4ae1-9e38-cf19cda27f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3CC167-0714-4F02-9235-FC9DBCD11C45}"/>
</file>

<file path=customXml/itemProps2.xml><?xml version="1.0" encoding="utf-8"?>
<ds:datastoreItem xmlns:ds="http://schemas.openxmlformats.org/officeDocument/2006/customXml" ds:itemID="{21E06FC9-E83C-4095-A3AC-41029EB08678}"/>
</file>

<file path=customXml/itemProps3.xml><?xml version="1.0" encoding="utf-8"?>
<ds:datastoreItem xmlns:ds="http://schemas.openxmlformats.org/officeDocument/2006/customXml" ds:itemID="{D646291C-B776-4728-98B6-F6E0AB766D8D}"/>
</file>

<file path=customXml/itemProps4.xml><?xml version="1.0" encoding="utf-8"?>
<ds:datastoreItem xmlns:ds="http://schemas.openxmlformats.org/officeDocument/2006/customXml" ds:itemID="{76516EFB-BA70-43B3-9188-A7B1833FCCDE}"/>
</file>

<file path=docProps/app.xml><?xml version="1.0" encoding="utf-8"?>
<Properties xmlns="http://schemas.openxmlformats.org/officeDocument/2006/extended-properties" xmlns:vt="http://schemas.openxmlformats.org/officeDocument/2006/docPropsVTypes">
  <Application>Microsoft Excel Online</Application>
  <Manager/>
  <Company>Arizona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Trainor, Candice</dc:creator>
  <cp:keywords/>
  <dc:description/>
  <cp:lastModifiedBy>Trainor, Candice</cp:lastModifiedBy>
  <cp:revision/>
  <dcterms:created xsi:type="dcterms:W3CDTF">2024-03-08T20:38:11Z</dcterms:created>
  <dcterms:modified xsi:type="dcterms:W3CDTF">2024-03-22T20:27:03Z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0x0101001B0FAC48D43D084B853DC8F3C42375F0</vt:lpwstr>
  </property>
  <property fmtid="{D5CDD505-2E9C-101B-9397-08002B2CF9AE}" pid="3" name="_dlc_DocIdItemGuid">
    <vt:lpwstr>ee8289f8-991e-43d9-af6f-4a5fe04b5693</vt:lpwstr>
  </property>
  <property fmtid="{D5CDD505-2E9C-101B-9397-08002B2CF9AE}" pid="4" name="MediaServiceImageTags">
    <vt:lpwstr/>
  </property>
</Properties>
</file>