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peter_laing_azed_gov/Documents/Desktop/Desktop/2021 - ED COVID19 Emergency Relief Funds/EANS I - Private Schools via GEER II/FINAL DOCS/"/>
    </mc:Choice>
  </mc:AlternateContent>
  <xr:revisionPtr revIDLastSave="35" documentId="8_{5893B683-8EE0-443F-95C4-C4612D37B50F}" xr6:coauthVersionLast="45" xr6:coauthVersionMax="45" xr10:uidLastSave="{6C16709D-51D4-48C4-9929-7A4A46456FAE}"/>
  <bookViews>
    <workbookView xWindow="-28920" yWindow="-120" windowWidth="29040" windowHeight="15840" xr2:uid="{5D52A539-5391-4A06-813C-3A73171E3271}"/>
  </bookViews>
  <sheets>
    <sheet name="EANS I Final Allocations" sheetId="1" r:id="rId1"/>
  </sheets>
  <definedNames>
    <definedName name="_xlnm._FilterDatabase" localSheetId="0" hidden="1">'EANS I Final Allocations'!$A$18:$R$18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3" i="1" l="1"/>
  <c r="H99" i="1"/>
  <c r="H33" i="1"/>
  <c r="H26" i="1"/>
  <c r="H50" i="1"/>
  <c r="H61" i="1"/>
  <c r="H20" i="1"/>
  <c r="H48" i="1"/>
  <c r="H37" i="1"/>
  <c r="H36" i="1"/>
  <c r="H25" i="1"/>
  <c r="H39" i="1"/>
  <c r="K19" i="1"/>
  <c r="P90" i="1" l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H101" i="1"/>
  <c r="H100" i="1"/>
  <c r="H98" i="1"/>
  <c r="H97" i="1"/>
  <c r="H96" i="1"/>
  <c r="H95" i="1"/>
  <c r="H94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49" i="1"/>
  <c r="H47" i="1"/>
  <c r="H46" i="1"/>
  <c r="H45" i="1"/>
  <c r="H44" i="1"/>
  <c r="H43" i="1"/>
  <c r="H42" i="1"/>
  <c r="H41" i="1"/>
  <c r="H40" i="1"/>
  <c r="H38" i="1"/>
  <c r="H35" i="1"/>
  <c r="H34" i="1"/>
  <c r="H32" i="1"/>
  <c r="H31" i="1"/>
  <c r="H30" i="1"/>
  <c r="H29" i="1"/>
  <c r="H28" i="1"/>
  <c r="H27" i="1"/>
  <c r="H24" i="1"/>
  <c r="H23" i="1"/>
  <c r="H22" i="1"/>
  <c r="H21" i="1"/>
  <c r="H19" i="1"/>
  <c r="B3" i="1" l="1"/>
  <c r="B4" i="1" s="1"/>
  <c r="D17" i="1" l="1"/>
  <c r="C17" i="1"/>
  <c r="H17" i="1" l="1"/>
  <c r="K17" i="1"/>
  <c r="M17" i="1"/>
  <c r="N17" i="1"/>
  <c r="O19" i="1" s="1"/>
  <c r="P19" i="1" s="1"/>
  <c r="E6" i="1" l="1"/>
  <c r="E9" i="1" s="1"/>
  <c r="O96" i="1"/>
  <c r="P96" i="1" s="1"/>
  <c r="O88" i="1"/>
  <c r="P88" i="1" s="1"/>
  <c r="O80" i="1"/>
  <c r="P80" i="1" s="1"/>
  <c r="O73" i="1"/>
  <c r="P73" i="1" s="1"/>
  <c r="O65" i="1"/>
  <c r="P65" i="1" s="1"/>
  <c r="O55" i="1"/>
  <c r="P55" i="1" s="1"/>
  <c r="O48" i="1"/>
  <c r="P48" i="1" s="1"/>
  <c r="O42" i="1"/>
  <c r="P42" i="1" s="1"/>
  <c r="O35" i="1"/>
  <c r="P35" i="1" s="1"/>
  <c r="O27" i="1"/>
  <c r="P27" i="1" s="1"/>
  <c r="O21" i="1"/>
  <c r="P21" i="1" s="1"/>
  <c r="O101" i="1"/>
  <c r="P101" i="1" s="1"/>
  <c r="O87" i="1"/>
  <c r="P87" i="1" s="1"/>
  <c r="O79" i="1"/>
  <c r="P79" i="1" s="1"/>
  <c r="O72" i="1"/>
  <c r="P72" i="1" s="1"/>
  <c r="O64" i="1"/>
  <c r="P64" i="1" s="1"/>
  <c r="O54" i="1"/>
  <c r="P54" i="1" s="1"/>
  <c r="O47" i="1"/>
  <c r="P47" i="1" s="1"/>
  <c r="O41" i="1"/>
  <c r="P41" i="1" s="1"/>
  <c r="O34" i="1"/>
  <c r="P34" i="1" s="1"/>
  <c r="O20" i="1"/>
  <c r="P20" i="1" s="1"/>
  <c r="O95" i="1"/>
  <c r="P95" i="1" s="1"/>
  <c r="O86" i="1"/>
  <c r="P86" i="1" s="1"/>
  <c r="O78" i="1"/>
  <c r="P78" i="1" s="1"/>
  <c r="O71" i="1"/>
  <c r="P71" i="1" s="1"/>
  <c r="O63" i="1"/>
  <c r="P63" i="1" s="1"/>
  <c r="O60" i="1"/>
  <c r="P60" i="1" s="1"/>
  <c r="O53" i="1"/>
  <c r="P53" i="1" s="1"/>
  <c r="O46" i="1"/>
  <c r="P46" i="1" s="1"/>
  <c r="O40" i="1"/>
  <c r="P40" i="1" s="1"/>
  <c r="O33" i="1"/>
  <c r="P33" i="1" s="1"/>
  <c r="O26" i="1"/>
  <c r="P26" i="1" s="1"/>
  <c r="O57" i="1"/>
  <c r="P57" i="1" s="1"/>
  <c r="O49" i="1"/>
  <c r="P49" i="1" s="1"/>
  <c r="O100" i="1"/>
  <c r="P100" i="1" s="1"/>
  <c r="O94" i="1"/>
  <c r="P94" i="1" s="1"/>
  <c r="O85" i="1"/>
  <c r="P85" i="1" s="1"/>
  <c r="O70" i="1"/>
  <c r="P70" i="1" s="1"/>
  <c r="O52" i="1"/>
  <c r="P52" i="1" s="1"/>
  <c r="O32" i="1"/>
  <c r="P32" i="1" s="1"/>
  <c r="O25" i="1"/>
  <c r="P25" i="1" s="1"/>
  <c r="O75" i="1"/>
  <c r="P75" i="1" s="1"/>
  <c r="O23" i="1"/>
  <c r="P23" i="1" s="1"/>
  <c r="O81" i="1"/>
  <c r="P81" i="1" s="1"/>
  <c r="O56" i="1"/>
  <c r="P56" i="1" s="1"/>
  <c r="O28" i="1"/>
  <c r="P28" i="1" s="1"/>
  <c r="O99" i="1"/>
  <c r="P99" i="1" s="1"/>
  <c r="O93" i="1"/>
  <c r="P93" i="1" s="1"/>
  <c r="O84" i="1"/>
  <c r="P84" i="1" s="1"/>
  <c r="O77" i="1"/>
  <c r="P77" i="1" s="1"/>
  <c r="O69" i="1"/>
  <c r="P69" i="1" s="1"/>
  <c r="O62" i="1"/>
  <c r="P62" i="1" s="1"/>
  <c r="O59" i="1"/>
  <c r="P59" i="1" s="1"/>
  <c r="O51" i="1"/>
  <c r="P51" i="1" s="1"/>
  <c r="O45" i="1"/>
  <c r="P45" i="1" s="1"/>
  <c r="O39" i="1"/>
  <c r="P39" i="1" s="1"/>
  <c r="O31" i="1"/>
  <c r="P31" i="1" s="1"/>
  <c r="O98" i="1"/>
  <c r="P98" i="1" s="1"/>
  <c r="O91" i="1"/>
  <c r="P91" i="1" s="1"/>
  <c r="O67" i="1"/>
  <c r="P67" i="1" s="1"/>
  <c r="O37" i="1"/>
  <c r="P37" i="1" s="1"/>
  <c r="O89" i="1"/>
  <c r="P89" i="1" s="1"/>
  <c r="O66" i="1"/>
  <c r="P66" i="1" s="1"/>
  <c r="O43" i="1"/>
  <c r="P43" i="1" s="1"/>
  <c r="O22" i="1"/>
  <c r="P22" i="1" s="1"/>
  <c r="O92" i="1"/>
  <c r="P92" i="1" s="1"/>
  <c r="O83" i="1"/>
  <c r="P83" i="1" s="1"/>
  <c r="O76" i="1"/>
  <c r="P76" i="1" s="1"/>
  <c r="O68" i="1"/>
  <c r="P68" i="1" s="1"/>
  <c r="O61" i="1"/>
  <c r="P61" i="1" s="1"/>
  <c r="O58" i="1"/>
  <c r="P58" i="1" s="1"/>
  <c r="O50" i="1"/>
  <c r="P50" i="1" s="1"/>
  <c r="O44" i="1"/>
  <c r="P44" i="1" s="1"/>
  <c r="O38" i="1"/>
  <c r="P38" i="1" s="1"/>
  <c r="O30" i="1"/>
  <c r="P30" i="1" s="1"/>
  <c r="O24" i="1"/>
  <c r="P24" i="1" s="1"/>
  <c r="O82" i="1"/>
  <c r="P82" i="1" s="1"/>
  <c r="O29" i="1"/>
  <c r="P29" i="1" s="1"/>
  <c r="O97" i="1"/>
  <c r="P97" i="1" s="1"/>
  <c r="O74" i="1"/>
  <c r="P74" i="1" s="1"/>
  <c r="O36" i="1"/>
  <c r="P36" i="1" s="1"/>
  <c r="E14" i="1" l="1"/>
  <c r="E11" i="1"/>
  <c r="F11" i="1" s="1"/>
  <c r="E10" i="1"/>
  <c r="F10" i="1" s="1"/>
  <c r="P17" i="1" l="1"/>
  <c r="I88" i="1"/>
  <c r="I71" i="1"/>
  <c r="I19" i="1"/>
  <c r="Q19" i="1" s="1"/>
  <c r="I68" i="1"/>
  <c r="I55" i="1"/>
  <c r="I31" i="1"/>
  <c r="I51" i="1"/>
  <c r="I23" i="1"/>
  <c r="I83" i="1"/>
  <c r="I42" i="1"/>
  <c r="I41" i="1"/>
  <c r="I85" i="1"/>
  <c r="I50" i="1"/>
  <c r="I99" i="1"/>
  <c r="I89" i="1"/>
  <c r="I76" i="1"/>
  <c r="I39" i="1"/>
  <c r="I33" i="1"/>
  <c r="I25" i="1"/>
  <c r="I46" i="1"/>
  <c r="I87" i="1"/>
  <c r="I28" i="1"/>
  <c r="I82" i="1"/>
  <c r="I30" i="1"/>
  <c r="I61" i="1"/>
  <c r="I101" i="1"/>
  <c r="I65" i="1"/>
  <c r="I92" i="1"/>
  <c r="I52" i="1"/>
  <c r="I94" i="1"/>
  <c r="I54" i="1"/>
  <c r="I80" i="1"/>
  <c r="I36" i="1"/>
  <c r="I21" i="1"/>
  <c r="I100" i="1"/>
  <c r="I57" i="1"/>
  <c r="I62" i="1"/>
  <c r="I60" i="1"/>
  <c r="I38" i="1"/>
  <c r="I37" i="1"/>
  <c r="I26" i="1"/>
  <c r="I63" i="1"/>
  <c r="I69" i="1"/>
  <c r="I34" i="1"/>
  <c r="I90" i="1"/>
  <c r="I75" i="1"/>
  <c r="I98" i="1"/>
  <c r="I97" i="1"/>
  <c r="I67" i="1"/>
  <c r="I66" i="1"/>
  <c r="I40" i="1"/>
  <c r="I84" i="1"/>
  <c r="I43" i="1"/>
  <c r="I45" i="1"/>
  <c r="I86" i="1"/>
  <c r="I20" i="1"/>
  <c r="I58" i="1"/>
  <c r="I49" i="1"/>
  <c r="I70" i="1"/>
  <c r="I56" i="1"/>
  <c r="I81" i="1"/>
  <c r="I95" i="1"/>
  <c r="I27" i="1"/>
  <c r="I91" i="1"/>
  <c r="I44" i="1"/>
  <c r="I48" i="1"/>
  <c r="I78" i="1"/>
  <c r="I73" i="1"/>
  <c r="I93" i="1"/>
  <c r="I53" i="1"/>
  <c r="I79" i="1"/>
  <c r="I59" i="1"/>
  <c r="I77" i="1"/>
  <c r="I24" i="1"/>
  <c r="I47" i="1"/>
  <c r="I22" i="1"/>
  <c r="I29" i="1"/>
  <c r="I32" i="1"/>
  <c r="I72" i="1"/>
  <c r="I74" i="1"/>
  <c r="I35" i="1"/>
  <c r="I96" i="1"/>
  <c r="I64" i="1"/>
  <c r="Q91" i="1" l="1"/>
  <c r="R91" i="1" s="1"/>
  <c r="Q55" i="1"/>
  <c r="R55" i="1" s="1"/>
  <c r="Q29" i="1"/>
  <c r="R29" i="1" s="1"/>
  <c r="Q53" i="1"/>
  <c r="R53" i="1" s="1"/>
  <c r="Q20" i="1"/>
  <c r="R20" i="1" s="1"/>
  <c r="Q67" i="1"/>
  <c r="R67" i="1" s="1"/>
  <c r="Q57" i="1"/>
  <c r="R57" i="1" s="1"/>
  <c r="Q52" i="1"/>
  <c r="R52" i="1" s="1"/>
  <c r="Q82" i="1"/>
  <c r="R82" i="1" s="1"/>
  <c r="Q39" i="1"/>
  <c r="R39" i="1" s="1"/>
  <c r="Q41" i="1"/>
  <c r="R41" i="1" s="1"/>
  <c r="Q79" i="1"/>
  <c r="R79" i="1" s="1"/>
  <c r="Q85" i="1"/>
  <c r="R85" i="1" s="1"/>
  <c r="Q22" i="1"/>
  <c r="R22" i="1" s="1"/>
  <c r="Q93" i="1"/>
  <c r="R93" i="1" s="1"/>
  <c r="Q27" i="1"/>
  <c r="R27" i="1" s="1"/>
  <c r="Q86" i="1"/>
  <c r="R86" i="1" s="1"/>
  <c r="Q97" i="1"/>
  <c r="R97" i="1" s="1"/>
  <c r="Q26" i="1"/>
  <c r="R26" i="1" s="1"/>
  <c r="Q100" i="1"/>
  <c r="R100" i="1" s="1"/>
  <c r="Q92" i="1"/>
  <c r="R92" i="1" s="1"/>
  <c r="Q28" i="1"/>
  <c r="R28" i="1" s="1"/>
  <c r="Q76" i="1"/>
  <c r="R76" i="1" s="1"/>
  <c r="Q42" i="1"/>
  <c r="R42" i="1" s="1"/>
  <c r="Q68" i="1"/>
  <c r="R68" i="1" s="1"/>
  <c r="Q63" i="1"/>
  <c r="R63" i="1" s="1"/>
  <c r="Q64" i="1"/>
  <c r="R64" i="1" s="1"/>
  <c r="Q47" i="1"/>
  <c r="R47" i="1" s="1"/>
  <c r="Q73" i="1"/>
  <c r="R73" i="1" s="1"/>
  <c r="Q95" i="1"/>
  <c r="R95" i="1" s="1"/>
  <c r="Q45" i="1"/>
  <c r="R45" i="1" s="1"/>
  <c r="Q98" i="1"/>
  <c r="R98" i="1" s="1"/>
  <c r="Q37" i="1"/>
  <c r="R37" i="1" s="1"/>
  <c r="Q21" i="1"/>
  <c r="R21" i="1" s="1"/>
  <c r="Q65" i="1"/>
  <c r="R65" i="1" s="1"/>
  <c r="Q87" i="1"/>
  <c r="R87" i="1" s="1"/>
  <c r="Q89" i="1"/>
  <c r="R89" i="1" s="1"/>
  <c r="Q83" i="1"/>
  <c r="R83" i="1" s="1"/>
  <c r="Q96" i="1"/>
  <c r="R96" i="1" s="1"/>
  <c r="Q24" i="1"/>
  <c r="R24" i="1" s="1"/>
  <c r="Q78" i="1"/>
  <c r="R78" i="1" s="1"/>
  <c r="Q81" i="1"/>
  <c r="R81" i="1" s="1"/>
  <c r="Q43" i="1"/>
  <c r="R43" i="1" s="1"/>
  <c r="Q75" i="1"/>
  <c r="R75" i="1" s="1"/>
  <c r="Q38" i="1"/>
  <c r="R38" i="1" s="1"/>
  <c r="Q36" i="1"/>
  <c r="R36" i="1" s="1"/>
  <c r="Q46" i="1"/>
  <c r="R46" i="1" s="1"/>
  <c r="Q99" i="1"/>
  <c r="R99" i="1" s="1"/>
  <c r="Q23" i="1"/>
  <c r="R23" i="1" s="1"/>
  <c r="I17" i="1"/>
  <c r="Q71" i="1"/>
  <c r="R71" i="1" s="1"/>
  <c r="Q66" i="1"/>
  <c r="R66" i="1" s="1"/>
  <c r="Q35" i="1"/>
  <c r="R35" i="1" s="1"/>
  <c r="Q77" i="1"/>
  <c r="R77" i="1" s="1"/>
  <c r="Q56" i="1"/>
  <c r="R56" i="1" s="1"/>
  <c r="Q84" i="1"/>
  <c r="R84" i="1" s="1"/>
  <c r="Q90" i="1"/>
  <c r="R90" i="1" s="1"/>
  <c r="Q60" i="1"/>
  <c r="R60" i="1" s="1"/>
  <c r="Q80" i="1"/>
  <c r="R80" i="1" s="1"/>
  <c r="Q101" i="1"/>
  <c r="R101" i="1" s="1"/>
  <c r="Q25" i="1"/>
  <c r="R25" i="1" s="1"/>
  <c r="Q88" i="1"/>
  <c r="R88" i="1" s="1"/>
  <c r="Q58" i="1"/>
  <c r="R58" i="1" s="1"/>
  <c r="Q33" i="1"/>
  <c r="R33" i="1" s="1"/>
  <c r="Q74" i="1"/>
  <c r="R74" i="1" s="1"/>
  <c r="Q59" i="1"/>
  <c r="R59" i="1" s="1"/>
  <c r="Q48" i="1"/>
  <c r="R48" i="1" s="1"/>
  <c r="Q70" i="1"/>
  <c r="R70" i="1" s="1"/>
  <c r="Q40" i="1"/>
  <c r="R40" i="1" s="1"/>
  <c r="Q34" i="1"/>
  <c r="R34" i="1" s="1"/>
  <c r="Q54" i="1"/>
  <c r="R54" i="1" s="1"/>
  <c r="Q61" i="1"/>
  <c r="R61" i="1" s="1"/>
  <c r="Q50" i="1"/>
  <c r="R50" i="1" s="1"/>
  <c r="Q51" i="1"/>
  <c r="R51" i="1" s="1"/>
  <c r="Q32" i="1"/>
  <c r="R32" i="1" s="1"/>
  <c r="Q72" i="1"/>
  <c r="R72" i="1" s="1"/>
  <c r="Q44" i="1"/>
  <c r="R44" i="1" s="1"/>
  <c r="Q49" i="1"/>
  <c r="R49" i="1" s="1"/>
  <c r="Q69" i="1"/>
  <c r="R69" i="1" s="1"/>
  <c r="Q62" i="1"/>
  <c r="R62" i="1" s="1"/>
  <c r="Q94" i="1"/>
  <c r="R94" i="1" s="1"/>
  <c r="Q30" i="1"/>
  <c r="R30" i="1" s="1"/>
  <c r="Q31" i="1"/>
  <c r="R31" i="1" s="1"/>
  <c r="R19" i="1" l="1"/>
  <c r="R17" i="1" s="1"/>
  <c r="Q17" i="1"/>
</calcChain>
</file>

<file path=xl/sharedStrings.xml><?xml version="1.0" encoding="utf-8"?>
<sst xmlns="http://schemas.openxmlformats.org/spreadsheetml/2006/main" count="372" uniqueCount="211">
  <si>
    <t>A Place 4 Everyone Learning Center</t>
  </si>
  <si>
    <t>Acton Academy Phoenix</t>
  </si>
  <si>
    <t>Advantage Tutoring</t>
  </si>
  <si>
    <t>Annunciation Catholic School</t>
  </si>
  <si>
    <t>ARIZONA CULTURAL ACADEMY</t>
  </si>
  <si>
    <t>Arizona Lutheran Academy</t>
  </si>
  <si>
    <t>Atonement Lutheran School</t>
  </si>
  <si>
    <t>Blessed Sacrament School</t>
  </si>
  <si>
    <t>Bourgade Catholic High School</t>
  </si>
  <si>
    <t>Brophy College Preparatory</t>
  </si>
  <si>
    <t>Canyon State Academy, Inc.</t>
  </si>
  <si>
    <t>Casas Christian School</t>
  </si>
  <si>
    <t>Cheder Lubavitch Arizona</t>
  </si>
  <si>
    <t>Christ Greenfield Lutheran School</t>
  </si>
  <si>
    <t>CHRIST LUTHERAN VAIL CREATION SCHOOL</t>
  </si>
  <si>
    <t>Christ the King Catholic School</t>
  </si>
  <si>
    <t>Creative Castle Preschool and Kindergarten</t>
  </si>
  <si>
    <t>Cross of Glory Lutheran School</t>
  </si>
  <si>
    <t>Desert Jewish Academy/East Valley Jewish Day School</t>
  </si>
  <si>
    <t>Emmanuel Lutheran</t>
  </si>
  <si>
    <t>Emmaus Lutheran School</t>
  </si>
  <si>
    <t>Faith Community Academy</t>
  </si>
  <si>
    <t>First Southern Christian School</t>
  </si>
  <si>
    <t>Foothills Educational Foundation dba Summit School</t>
  </si>
  <si>
    <t>Glendale Christian Academy</t>
  </si>
  <si>
    <t>Immaculate Conception Catholic School</t>
  </si>
  <si>
    <t>Immaculate Heart Academy</t>
  </si>
  <si>
    <t>Loretto Catholic School</t>
  </si>
  <si>
    <t>Lourdes Catholic School</t>
  </si>
  <si>
    <t>Menachem Mendel Academy</t>
  </si>
  <si>
    <t>Most Holy Trinity Catholic School</t>
  </si>
  <si>
    <t>Northminster Christian School</t>
  </si>
  <si>
    <t>Northwest Christian School</t>
  </si>
  <si>
    <t>Notre Dame Preparatory Roman Catholic High School</t>
  </si>
  <si>
    <t>Our Lady of Mt Carmel</t>
  </si>
  <si>
    <t>Our Lady of Perpetual Help Catholic School</t>
  </si>
  <si>
    <t>Our Lady of Perpetual Help Catholic School Glendale</t>
  </si>
  <si>
    <t>Our Lady of Sorrows Academy</t>
  </si>
  <si>
    <t>Our Lady of the Lake Catholic School</t>
  </si>
  <si>
    <t>OUR MOTHER OF SORROWS CATHOLIC SCHOOL</t>
  </si>
  <si>
    <t>Pathways School and Evaluation Center, Incorporated</t>
  </si>
  <si>
    <t>Peridot-Our Savior's Lutheran School</t>
  </si>
  <si>
    <t>Queen of All Saints Academy</t>
  </si>
  <si>
    <t>Queen Of Peace Catholic School</t>
  </si>
  <si>
    <t>Sacred Heart Catholic School</t>
  </si>
  <si>
    <t>Saint Cyril of Alexandria Catholic School - Tucson</t>
  </si>
  <si>
    <t>Saint John Bosco</t>
  </si>
  <si>
    <t>Saint Mary's Catholic High School</t>
  </si>
  <si>
    <t>Saint Matthew</t>
  </si>
  <si>
    <t>Saint Theresa Catholic School</t>
  </si>
  <si>
    <t>Saints Peter and Paul Catholic School</t>
  </si>
  <si>
    <t>Salpointe Catholic High School</t>
  </si>
  <si>
    <t>San Francisco de Asis Catholic School</t>
  </si>
  <si>
    <t>San Miguel High School - Tucson, AZ</t>
  </si>
  <si>
    <t>Seton Catholic Preparatory</t>
  </si>
  <si>
    <t>SS. SIMON &amp; JUDE CATHEDRAL SCHOOL</t>
  </si>
  <si>
    <t>St Agnes Catholic School</t>
  </si>
  <si>
    <t>St John Vianney Catholic School</t>
  </si>
  <si>
    <t>St Vincent de Paul Catholic School</t>
  </si>
  <si>
    <t>St. Ambrose Catholic School</t>
  </si>
  <si>
    <t>St. Augustine Catholic High School</t>
  </si>
  <si>
    <t>St. Catherine of Siena Catholic School</t>
  </si>
  <si>
    <t>St. Elizabeth Ann Seton Catholic School</t>
  </si>
  <si>
    <t>St. Francis Xavier</t>
  </si>
  <si>
    <t>St. Gregory Catholic School</t>
  </si>
  <si>
    <t>St. Jerome School</t>
  </si>
  <si>
    <t>St. John Paul II Roman Catholic High School</t>
  </si>
  <si>
    <t>St. John XXIII Catholic School</t>
  </si>
  <si>
    <t>St. Louis the King Catholic School</t>
  </si>
  <si>
    <t>St. Mary-Basha Catholic School</t>
  </si>
  <si>
    <t>St. Peter Indian Mission School</t>
  </si>
  <si>
    <t>St. Thomas Aquinas Catholic School</t>
  </si>
  <si>
    <t>St. Timothy Catholic School</t>
  </si>
  <si>
    <t>Taylor made prep academy</t>
  </si>
  <si>
    <t>Torah Day School of Phoenix</t>
  </si>
  <si>
    <t>Trinity Lutheran School</t>
  </si>
  <si>
    <t>United Christian School</t>
  </si>
  <si>
    <t>Valley Christian Schools</t>
  </si>
  <si>
    <t>Verde Christian Academy</t>
  </si>
  <si>
    <t>Vision Leadership Academy</t>
  </si>
  <si>
    <t>Xavier College Preparatory Roman Catholic High School</t>
  </si>
  <si>
    <t>Yuma Lutheran School</t>
  </si>
  <si>
    <t>School Mailing Address</t>
  </si>
  <si>
    <t>7040 E Superstition Springs Blvd, Mesa, AZ, 85209</t>
  </si>
  <si>
    <t>3330 E Camelback Rd., PHOENIX, AZ, 85012-2387</t>
  </si>
  <si>
    <t>11250 N. Tatum Blvd, C-104, Phoenix, AZ, 85028</t>
  </si>
  <si>
    <t>32648 N. Cave Creek Rd, Cave Creek, AZ, 85331</t>
  </si>
  <si>
    <t>7810 S 42ND PLACE, PHOENIX, AZ, 85042</t>
  </si>
  <si>
    <t>6036 South 27th Avenue, Phoenix, AZ, 85041</t>
  </si>
  <si>
    <t>4001 W Beardsley Rd, Glendale, AZ, 85308</t>
  </si>
  <si>
    <t>11300 N 64th St, Scottsdale, AZ, 85254</t>
  </si>
  <si>
    <t>4602 N. 31st Ave, Phoenix, AZ, 85017</t>
  </si>
  <si>
    <t>4701 N. Central Avenue, Phoenix, AZ, 85012</t>
  </si>
  <si>
    <t>20061 E Rittenhouse Rd, Queen Creek, AZ, 85142</t>
  </si>
  <si>
    <t>10801 N La Cholla Blvd, Tucson, AZ, 85742</t>
  </si>
  <si>
    <t>2136 E Cactus Wren Drive, Phoenix, AZ, 85016</t>
  </si>
  <si>
    <t>425 N Greenfield Rd., Gilbert, AZ, 85234</t>
  </si>
  <si>
    <t>14600 E. COLOSSAL CAVE ROAD, VAIL, AZ, 85641-9065</t>
  </si>
  <si>
    <t>1551 E. Dana Avenue , Mesa, AZ, 85204</t>
  </si>
  <si>
    <t>4130 W Opportunity Way, Phoenix, AZ, 85086</t>
  </si>
  <si>
    <t>10111 W Jomax Rd, Peoria, AZ, 85383</t>
  </si>
  <si>
    <t>3400 N Dobson Rd, Chandler, AZ, 85224</t>
  </si>
  <si>
    <t>715 W Southern Ave, Tempe, AZ, 85282</t>
  </si>
  <si>
    <t>3841 W Sweetwater Ave, Phoenix, AZ, 85029</t>
  </si>
  <si>
    <t>2551 W Orange Grove Rd , Tucson , AZ, 85741</t>
  </si>
  <si>
    <t>445 E. Speedway Blvd., Tucson, AZ, 85746</t>
  </si>
  <si>
    <t>4515 E. Muirwood Dr., Phoenix, AZ, 85048</t>
  </si>
  <si>
    <t>PO Box 865, Glendale, AZ, 85311</t>
  </si>
  <si>
    <t>750 N BILL GRAY RD, COTTONWOOD, AZ, 86326</t>
  </si>
  <si>
    <t>410 E. Magee Rd., Oro Valley, AZ, 85704</t>
  </si>
  <si>
    <t>1200 E. 14th Street, Douglas, AZ, 85607</t>
  </si>
  <si>
    <t>555 E. Patagonia Highway, Nogales, AZ, 85621</t>
  </si>
  <si>
    <t>11802 North 74th PL, Scottsdale, AZ, 85260</t>
  </si>
  <si>
    <t>535 E. Alice Ave. , Phoenix, AZ, 85020</t>
  </si>
  <si>
    <t>2450 E. Ft. Lowell, Tucson, AZ, 85719</t>
  </si>
  <si>
    <t>16401 N 43rd Ave, Phoenix, AZ, 85053</t>
  </si>
  <si>
    <t>9701 E BELL RD, SCOTTSDALE, AZ, 85260</t>
  </si>
  <si>
    <t>2117 S Rural Rd, Tempe, AZ, 85282</t>
  </si>
  <si>
    <t>3801 N Miller Rd, Scottsdale, AZ, 85251</t>
  </si>
  <si>
    <t>7521 N 57th Ave, Phoenix, AZ, 85301</t>
  </si>
  <si>
    <t>750 E Baseline Rd, Phoenix, AZ, 85042</t>
  </si>
  <si>
    <t>1975 Daytona Drive, Lake Havasu City, AZ, 86403</t>
  </si>
  <si>
    <t>1800 S. KOLB RD., TUCSON, AZ, 84710</t>
  </si>
  <si>
    <t>1540 N Burk St, Gilbert, AZ, 85234</t>
  </si>
  <si>
    <t>P.O. Box #118, Indian Highway 170, Peridot, AZ, 85542</t>
  </si>
  <si>
    <t>12252 N 111th Ave, Youngtown, AZ, 85363</t>
  </si>
  <si>
    <t>141 N Macdonald St, Mesa, AZ, 85201</t>
  </si>
  <si>
    <t>131 N. Summit Ave., Prescott, AZ, 86301</t>
  </si>
  <si>
    <t>4725 E. Pima Street, Tucson, AZ, 86712</t>
  </si>
  <si>
    <t>16035 S. 48th St., Phoenix, AZ, 85048</t>
  </si>
  <si>
    <t>2525 N 3rd St, Phoenix, AZ, 85004</t>
  </si>
  <si>
    <t>320 N. 20th Drive, Phoenix, AZ, 85009</t>
  </si>
  <si>
    <t>5001  E Thomas Rd, Phoenix, AZ, 85018</t>
  </si>
  <si>
    <t>4510 North 24th Street, Phoenix, AZ, 85016</t>
  </si>
  <si>
    <t>1436 N CAMPBELL AVE, TUCSON, AZ, 85719-4311</t>
  </si>
  <si>
    <t>1545 E. Copper St., Tucson, AZ, 85719</t>
  </si>
  <si>
    <t>1600 E. Rte 66, Flagstaff, AZ, 86001</t>
  </si>
  <si>
    <t>6601 S. San Fernando Road, Tucson, AZ, 85756</t>
  </si>
  <si>
    <t>1150 N Dobson Rd, Chandler, AZ, 85224-4004</t>
  </si>
  <si>
    <t>6351 N. 27th Avenue, Phoenix, AZ, 85017</t>
  </si>
  <si>
    <t>2311 E Palm. Ln., Phoenix, AZ, 85006</t>
  </si>
  <si>
    <t>539 East La Pasada Boulevard, Goodyear, AZ, 85338</t>
  </si>
  <si>
    <t>3130 N 51st Ave, Phoenix, AZ, 85031</t>
  </si>
  <si>
    <t>8800, E 22nd st, TUCSON, AZ, 85710</t>
  </si>
  <si>
    <t>6413 S. Central Ave., Phoenix, AZ, 85042</t>
  </si>
  <si>
    <t>8650 N SHANNON RD, TUCSON, AZ, 85742</t>
  </si>
  <si>
    <t>4715 N. Central Avenue, Phoenix, AZ, 85012</t>
  </si>
  <si>
    <t>St. Gregory Catholic School, 3440 N. 18th Ave., Phoenix, AZ, 85015</t>
  </si>
  <si>
    <t>10815 N. 35TH AVE, Phoenix, AZ, 85029</t>
  </si>
  <si>
    <t>3120 N 137th Ave, Avondale, AZ, 85392</t>
  </si>
  <si>
    <t>16235 N. 60th Street, Scottsdale, AZ, 85254</t>
  </si>
  <si>
    <t>200 W. Galveston St., Chandler, AZ, 85225</t>
  </si>
  <si>
    <t>P.O. Box 10840, 1500 North St. Peter Road, Bapchule, AZ, 85121</t>
  </si>
  <si>
    <t>13720 West Thomas Road, Avondale, AZ, 85392</t>
  </si>
  <si>
    <t>2520 S Alma School Rd, Mesa, AZ, 85210</t>
  </si>
  <si>
    <t>5757 N. Central Ave, Phoenix, AZ, 85014</t>
  </si>
  <si>
    <t>1118 W Glendale Ave, Phoenix, AZ, 85021</t>
  </si>
  <si>
    <t>830 E Plaza Circle, Litchfield Park, AZ, 85340</t>
  </si>
  <si>
    <t>PO Box 3126, 903 W Finnie Flat Rd, Camp Verde, AZ, 86322</t>
  </si>
  <si>
    <t>6900 W Galveston st, Chandler, AZ, 85226</t>
  </si>
  <si>
    <t>102 S. Willard St., Cottonwood, AZ, 86326</t>
  </si>
  <si>
    <t>PO Box 857, Laveen, AZ, 85339</t>
  </si>
  <si>
    <t>4710 N. 5th Street, Phoenix, AZ, 85012</t>
  </si>
  <si>
    <t>2555 S. Engler Avenue, Yuma, AZ, 85365</t>
  </si>
  <si>
    <t>Percentage of total students in the school who are students from low-income families:</t>
  </si>
  <si>
    <t>Participating Private School Name</t>
  </si>
  <si>
    <r>
      <t xml:space="preserve">Total K-12 student enrollment of the school in the </t>
    </r>
    <r>
      <rPr>
        <b/>
        <u/>
        <sz val="11"/>
        <rFont val="Calibri"/>
        <family val="2"/>
        <scheme val="minor"/>
      </rPr>
      <t>2019-2020</t>
    </r>
    <r>
      <rPr>
        <b/>
        <sz val="11"/>
        <rFont val="Calibri"/>
        <family val="2"/>
        <scheme val="minor"/>
      </rPr>
      <t xml:space="preserve"> school year</t>
    </r>
  </si>
  <si>
    <r>
      <t xml:space="preserve">Number or estimated number of students from low-income families enrolled in the school in the </t>
    </r>
    <r>
      <rPr>
        <b/>
        <u/>
        <sz val="11"/>
        <rFont val="Calibri"/>
        <family val="2"/>
        <scheme val="minor"/>
      </rPr>
      <t>2019-2020</t>
    </r>
    <r>
      <rPr>
        <b/>
        <sz val="11"/>
        <rFont val="Calibri"/>
        <family val="2"/>
        <scheme val="minor"/>
      </rPr>
      <t xml:space="preserve"> school year:</t>
    </r>
  </si>
  <si>
    <t>Region</t>
  </si>
  <si>
    <t>Phoenix</t>
  </si>
  <si>
    <t>Rural Arizona</t>
  </si>
  <si>
    <t>Tucson</t>
  </si>
  <si>
    <t>Initial Minimum Base Allocation</t>
  </si>
  <si>
    <t>Percent Households without Internet</t>
  </si>
  <si>
    <t>Without Internet Weight</t>
  </si>
  <si>
    <t>Percent Households without Computer</t>
  </si>
  <si>
    <t>Without Computer Weight</t>
  </si>
  <si>
    <t>Number of COVID cases in zipcode 
(as of 4/12/2021)</t>
  </si>
  <si>
    <t>Percentage of COVID Cases</t>
  </si>
  <si>
    <t>COVID Weight</t>
  </si>
  <si>
    <t>Step 1</t>
  </si>
  <si>
    <t>Step 2</t>
  </si>
  <si>
    <t>Allocation Prioritized Based on Poverty Data</t>
  </si>
  <si>
    <t>TOTAL ALL</t>
  </si>
  <si>
    <t>Final Rounded Award</t>
  </si>
  <si>
    <t>Step 3</t>
  </si>
  <si>
    <t>Did the school receive equitable services from an LEA under the CARES Act (ESSER I or GEER I)?</t>
  </si>
  <si>
    <t>No</t>
  </si>
  <si>
    <t>Yes</t>
  </si>
  <si>
    <t>Emergency Assistance for Non-Public Schools (EANS I)</t>
  </si>
  <si>
    <t>Baseline Award</t>
  </si>
  <si>
    <t>Total EANS I Award</t>
  </si>
  <si>
    <t>Total Reserved for ADE Administration (.5%)</t>
  </si>
  <si>
    <t>Total for Participating Private Schools</t>
  </si>
  <si>
    <t>Step 1: Minimum Baseline Awards</t>
  </si>
  <si>
    <t>Total All</t>
  </si>
  <si>
    <t>Total to Allocate</t>
  </si>
  <si>
    <r>
      <rPr>
        <b/>
        <sz val="11"/>
        <color theme="1"/>
        <rFont val="Calibri"/>
        <family val="2"/>
        <scheme val="minor"/>
      </rPr>
      <t>60%</t>
    </r>
    <r>
      <rPr>
        <sz val="11"/>
        <color theme="1"/>
        <rFont val="Calibri"/>
        <family val="2"/>
        <scheme val="minor"/>
      </rPr>
      <t xml:space="preserve"> Based on Poverty </t>
    </r>
  </si>
  <si>
    <r>
      <rPr>
        <b/>
        <sz val="11"/>
        <color theme="1"/>
        <rFont val="Calibri"/>
        <family val="2"/>
        <scheme val="minor"/>
      </rPr>
      <t>40%</t>
    </r>
    <r>
      <rPr>
        <sz val="11"/>
        <color theme="1"/>
        <rFont val="Calibri"/>
        <family val="2"/>
        <scheme val="minor"/>
      </rPr>
      <t xml:space="preserve"> Based on Total Enrollment</t>
    </r>
  </si>
  <si>
    <t>Per-Pupil Amounts</t>
  </si>
  <si>
    <t>Per-Pupil Amount</t>
  </si>
  <si>
    <r>
      <t xml:space="preserve">Step 3: Allocation Prioritized Based on Impact of COVID-19 </t>
    </r>
    <r>
      <rPr>
        <b/>
        <sz val="10"/>
        <color theme="1"/>
        <rFont val="Calibri"/>
        <family val="2"/>
        <scheme val="minor"/>
      </rPr>
      <t>(10% of funds remaining after baseline)</t>
    </r>
  </si>
  <si>
    <r>
      <t xml:space="preserve">Step 2: Allocation Prioritized Based on Poverty Data </t>
    </r>
    <r>
      <rPr>
        <b/>
        <sz val="10"/>
        <color theme="1"/>
        <rFont val="Calibri"/>
        <family val="2"/>
        <scheme val="minor"/>
      </rPr>
      <t>(90% of funds remaining after baseline)</t>
    </r>
  </si>
  <si>
    <t>Data Suppressed</t>
  </si>
  <si>
    <r>
      <t>Small School Baseline</t>
    </r>
    <r>
      <rPr>
        <sz val="10"/>
        <color theme="1"/>
        <rFont val="Calibri"/>
        <family val="2"/>
        <scheme val="minor"/>
      </rPr>
      <t xml:space="preserve"> (&lt;50 students)</t>
    </r>
  </si>
  <si>
    <t>Small School</t>
  </si>
  <si>
    <t>Rural (Non-Small School) Baseline</t>
  </si>
  <si>
    <t>300 S. Tucson Blvd, AZ 85716</t>
  </si>
  <si>
    <t>4331 W. Maryland Ave., Glendale, AZ, 85301</t>
  </si>
  <si>
    <t>Saint Thomas the Apostle Catholic School</t>
  </si>
  <si>
    <r>
      <rPr>
        <b/>
        <u/>
        <sz val="12"/>
        <color theme="1"/>
        <rFont val="Calibri"/>
        <family val="2"/>
        <scheme val="minor"/>
      </rPr>
      <t xml:space="preserve">EANS I Allocation Methodology
</t>
    </r>
    <r>
      <rPr>
        <b/>
        <sz val="12"/>
        <color theme="1"/>
        <rFont val="Calibri"/>
        <family val="2"/>
        <scheme val="minor"/>
      </rPr>
      <t xml:space="preserve">Step 1: </t>
    </r>
    <r>
      <rPr>
        <sz val="12"/>
        <color theme="1"/>
        <rFont val="Calibri"/>
        <family val="2"/>
        <scheme val="minor"/>
      </rPr>
      <t xml:space="preserve">Provide all schools with a minimum baseline allocation of $100,000. Provide rural schools with an additional $25,000 for a minimum baseline of $125,000 ($8,950,000)
</t>
    </r>
    <r>
      <rPr>
        <b/>
        <sz val="12"/>
        <color theme="1"/>
        <rFont val="Calibri"/>
        <family val="2"/>
        <scheme val="minor"/>
      </rPr>
      <t xml:space="preserve">Step 2: </t>
    </r>
    <r>
      <rPr>
        <sz val="12"/>
        <color theme="1"/>
        <rFont val="Calibri"/>
        <family val="2"/>
        <scheme val="minor"/>
      </rPr>
      <t xml:space="preserve">Allocate 90% ($40,672,317.01) of funds remaining after minimum baseline awards through providing per-pupil funds prioritized based on poverty data, with 60% based on poverty and 40% based on total enrollment
</t>
    </r>
    <r>
      <rPr>
        <b/>
        <sz val="12"/>
        <color theme="1"/>
        <rFont val="Calibri"/>
        <family val="2"/>
        <scheme val="minor"/>
      </rPr>
      <t>Step 3:</t>
    </r>
    <r>
      <rPr>
        <sz val="12"/>
        <color theme="1"/>
        <rFont val="Calibri"/>
        <family val="2"/>
        <scheme val="minor"/>
      </rPr>
      <t xml:space="preserve"> Allocate 10% ($4,519,146.33) of funds remaining after minimum baseline awards through providing per-pupil funds weighted based on COVID-19 Impact data:
     *Percent Households without Internet (within a 25-mile block of the school)
     *Percent Households without Devices (within a 25-mile block of the school)
     *Percent share of Total COVID-19 cases (as of 4/12/2021) in the school’s zip code
</t>
    </r>
    <r>
      <rPr>
        <b/>
        <i/>
        <sz val="11"/>
        <color theme="1"/>
        <rFont val="Calibri"/>
        <family val="2"/>
        <scheme val="minor"/>
      </rPr>
      <t xml:space="preserve">       COVID-19 Impact Data Source: Maricopa Association of Governments
</t>
    </r>
    <r>
      <rPr>
        <b/>
        <sz val="12"/>
        <color theme="1"/>
        <rFont val="Calibri"/>
        <family val="2"/>
        <scheme val="minor"/>
      </rPr>
      <t xml:space="preserve">Step 4: </t>
    </r>
    <r>
      <rPr>
        <sz val="12"/>
        <color theme="1"/>
        <rFont val="Calibri"/>
        <family val="2"/>
        <scheme val="minor"/>
      </rPr>
      <t>Reallocate funds based on final participating private school cohort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</si>
</sst>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9" fontId="0" fillId="0" borderId="4" xfId="0" applyNumberFormat="1" applyBorder="1" applyAlignment="1">
      <alignment horizontal="center"/>
    </xf>
    <xf numFmtId="3" fontId="4" fillId="5" borderId="4" xfId="0" applyNumberFormat="1" applyFont="1" applyFill="1" applyBorder="1"/>
    <xf numFmtId="165" fontId="4" fillId="5" borderId="4" xfId="0" applyNumberFormat="1" applyFont="1" applyFill="1" applyBorder="1"/>
    <xf numFmtId="164" fontId="1" fillId="0" borderId="0" xfId="0" applyNumberFormat="1" applyFont="1"/>
    <xf numFmtId="0" fontId="2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/>
    <xf numFmtId="0" fontId="2" fillId="7" borderId="9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2" borderId="6" xfId="0" applyFont="1" applyFill="1" applyBorder="1"/>
    <xf numFmtId="0" fontId="1" fillId="0" borderId="20" xfId="0" applyFont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0" fillId="0" borderId="21" xfId="0" applyBorder="1"/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0" fillId="9" borderId="3" xfId="0" applyFill="1" applyBorder="1"/>
    <xf numFmtId="0" fontId="7" fillId="4" borderId="1" xfId="0" applyFont="1" applyFill="1" applyBorder="1"/>
    <xf numFmtId="0" fontId="0" fillId="4" borderId="3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12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right"/>
    </xf>
    <xf numFmtId="0" fontId="0" fillId="0" borderId="22" xfId="0" applyBorder="1"/>
    <xf numFmtId="0" fontId="1" fillId="7" borderId="11" xfId="0" applyFont="1" applyFill="1" applyBorder="1"/>
    <xf numFmtId="0" fontId="1" fillId="7" borderId="12" xfId="0" applyFont="1" applyFill="1" applyBorder="1" applyAlignment="1">
      <alignment horizontal="center"/>
    </xf>
    <xf numFmtId="6" fontId="0" fillId="0" borderId="14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1" fillId="8" borderId="1" xfId="0" applyFont="1" applyFill="1" applyBorder="1"/>
    <xf numFmtId="0" fontId="1" fillId="8" borderId="2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0" fontId="0" fillId="0" borderId="22" xfId="0" applyBorder="1" applyAlignment="1">
      <alignment horizontal="left"/>
    </xf>
    <xf numFmtId="164" fontId="0" fillId="6" borderId="24" xfId="0" applyNumberFormat="1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64" fontId="4" fillId="0" borderId="25" xfId="0" applyNumberFormat="1" applyFont="1" applyBorder="1"/>
    <xf numFmtId="164" fontId="4" fillId="2" borderId="25" xfId="0" applyNumberFormat="1" applyFont="1" applyFill="1" applyBorder="1"/>
    <xf numFmtId="0" fontId="2" fillId="8" borderId="26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/>
    <xf numFmtId="164" fontId="4" fillId="0" borderId="10" xfId="0" applyNumberFormat="1" applyFont="1" applyFill="1" applyBorder="1"/>
    <xf numFmtId="164" fontId="4" fillId="0" borderId="9" xfId="0" applyNumberFormat="1" applyFont="1" applyFill="1" applyBorder="1"/>
    <xf numFmtId="0" fontId="1" fillId="3" borderId="2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164" fontId="1" fillId="0" borderId="21" xfId="0" applyNumberFormat="1" applyFont="1" applyBorder="1"/>
    <xf numFmtId="0" fontId="1" fillId="0" borderId="21" xfId="0" applyFont="1" applyBorder="1"/>
    <xf numFmtId="9" fontId="1" fillId="0" borderId="21" xfId="0" applyNumberFormat="1" applyFont="1" applyBorder="1"/>
    <xf numFmtId="164" fontId="1" fillId="0" borderId="23" xfId="0" applyNumberFormat="1" applyFont="1" applyBorder="1"/>
    <xf numFmtId="164" fontId="1" fillId="8" borderId="5" xfId="0" applyNumberFormat="1" applyFont="1" applyFill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1" xfId="0" applyBorder="1" applyAlignment="1">
      <alignment horizontal="left"/>
    </xf>
    <xf numFmtId="164" fontId="0" fillId="0" borderId="12" xfId="0" applyNumberForma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22" xfId="0" applyFont="1" applyFill="1" applyBorder="1"/>
    <xf numFmtId="0" fontId="1" fillId="9" borderId="1" xfId="0" applyFont="1" applyFill="1" applyBorder="1"/>
    <xf numFmtId="0" fontId="1" fillId="0" borderId="0" xfId="0" applyFont="1" applyFill="1" applyBorder="1"/>
    <xf numFmtId="164" fontId="0" fillId="0" borderId="0" xfId="0" applyNumberFormat="1" applyFill="1" applyBorder="1"/>
    <xf numFmtId="0" fontId="0" fillId="9" borderId="3" xfId="0" applyFill="1" applyBorder="1" applyAlignment="1">
      <alignment horizontal="center"/>
    </xf>
    <xf numFmtId="165" fontId="4" fillId="0" borderId="4" xfId="0" applyNumberFormat="1" applyFont="1" applyFill="1" applyBorder="1"/>
    <xf numFmtId="165" fontId="4" fillId="0" borderId="18" xfId="0" applyNumberFormat="1" applyFont="1" applyFill="1" applyBorder="1"/>
    <xf numFmtId="3" fontId="4" fillId="0" borderId="4" xfId="0" applyNumberFormat="1" applyFont="1" applyFill="1" applyBorder="1"/>
    <xf numFmtId="164" fontId="4" fillId="0" borderId="16" xfId="0" applyNumberFormat="1" applyFont="1" applyFill="1" applyBorder="1"/>
    <xf numFmtId="3" fontId="4" fillId="0" borderId="18" xfId="0" applyNumberFormat="1" applyFont="1" applyFill="1" applyBorder="1"/>
    <xf numFmtId="164" fontId="4" fillId="0" borderId="18" xfId="0" applyNumberFormat="1" applyFont="1" applyFill="1" applyBorder="1"/>
    <xf numFmtId="165" fontId="4" fillId="0" borderId="15" xfId="0" applyNumberFormat="1" applyFont="1" applyFill="1" applyBorder="1"/>
    <xf numFmtId="165" fontId="4" fillId="0" borderId="17" xfId="0" applyNumberFormat="1" applyFont="1" applyFill="1" applyBorder="1"/>
    <xf numFmtId="164" fontId="4" fillId="0" borderId="19" xfId="0" applyNumberFormat="1" applyFont="1" applyFill="1" applyBorder="1"/>
    <xf numFmtId="164" fontId="0" fillId="0" borderId="0" xfId="0" applyNumberFormat="1"/>
    <xf numFmtId="164" fontId="1" fillId="9" borderId="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6" fontId="0" fillId="0" borderId="23" xfId="0" applyNumberFormat="1" applyBorder="1" applyAlignment="1">
      <alignment horizontal="center"/>
    </xf>
    <xf numFmtId="0" fontId="1" fillId="0" borderId="22" xfId="0" applyFont="1" applyFill="1" applyBorder="1" applyAlignment="1">
      <alignment horizontal="left"/>
    </xf>
    <xf numFmtId="164" fontId="1" fillId="7" borderId="24" xfId="0" applyNumberFormat="1" applyFont="1" applyFill="1" applyBorder="1" applyAlignment="1">
      <alignment horizontal="center"/>
    </xf>
    <xf numFmtId="6" fontId="0" fillId="0" borderId="12" xfId="0" applyNumberFormat="1" applyFill="1" applyBorder="1" applyAlignment="1">
      <alignment horizontal="center"/>
    </xf>
    <xf numFmtId="0" fontId="0" fillId="0" borderId="29" xfId="0" applyFill="1" applyBorder="1"/>
    <xf numFmtId="0" fontId="0" fillId="0" borderId="8" xfId="0" applyBorder="1"/>
    <xf numFmtId="0" fontId="0" fillId="0" borderId="24" xfId="0" applyBorder="1"/>
    <xf numFmtId="164" fontId="4" fillId="0" borderId="20" xfId="0" applyNumberFormat="1" applyFont="1" applyBorder="1"/>
    <xf numFmtId="164" fontId="2" fillId="11" borderId="29" xfId="0" applyNumberFormat="1" applyFont="1" applyFill="1" applyBorder="1"/>
    <xf numFmtId="164" fontId="4" fillId="6" borderId="10" xfId="0" applyNumberFormat="1" applyFont="1" applyFill="1" applyBorder="1"/>
    <xf numFmtId="164" fontId="4" fillId="6" borderId="9" xfId="0" applyNumberFormat="1" applyFont="1" applyFill="1" applyBorder="1"/>
    <xf numFmtId="164" fontId="4" fillId="2" borderId="9" xfId="0" applyNumberFormat="1" applyFont="1" applyFill="1" applyBorder="1"/>
    <xf numFmtId="0" fontId="9" fillId="10" borderId="11" xfId="0" applyFont="1" applyFill="1" applyBorder="1" applyAlignment="1">
      <alignment vertical="top" wrapText="1"/>
    </xf>
    <xf numFmtId="0" fontId="9" fillId="10" borderId="12" xfId="0" applyFont="1" applyFill="1" applyBorder="1" applyAlignment="1">
      <alignment vertical="top" wrapText="1"/>
    </xf>
    <xf numFmtId="0" fontId="9" fillId="10" borderId="13" xfId="0" applyFont="1" applyFill="1" applyBorder="1" applyAlignment="1">
      <alignment vertical="top" wrapText="1"/>
    </xf>
    <xf numFmtId="0" fontId="9" fillId="10" borderId="14" xfId="0" applyFont="1" applyFill="1" applyBorder="1" applyAlignment="1">
      <alignment vertical="top" wrapText="1"/>
    </xf>
    <xf numFmtId="0" fontId="9" fillId="10" borderId="22" xfId="0" applyFont="1" applyFill="1" applyBorder="1" applyAlignment="1">
      <alignment vertical="top" wrapText="1"/>
    </xf>
    <xf numFmtId="0" fontId="9" fillId="10" borderId="23" xfId="0" applyFont="1" applyFill="1" applyBorder="1" applyAlignment="1">
      <alignment vertical="top" wrapText="1"/>
    </xf>
    <xf numFmtId="0" fontId="6" fillId="9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7F2BA-D1C8-41D6-9C1D-E9028F6503A0}">
  <dimension ref="A1:S103"/>
  <sheetViews>
    <sheetView tabSelected="1" zoomScaleNormal="100" workbookViewId="0">
      <selection activeCell="A5" sqref="A5:B16"/>
    </sheetView>
  </sheetViews>
  <sheetFormatPr defaultRowHeight="15" x14ac:dyDescent="0.25"/>
  <cols>
    <col min="1" max="1" width="50.85546875" customWidth="1"/>
    <col min="2" max="2" width="60" bestFit="1" customWidth="1"/>
    <col min="3" max="3" width="17.28515625" customWidth="1"/>
    <col min="4" max="4" width="31.85546875" customWidth="1"/>
    <col min="5" max="5" width="24.42578125" style="1" customWidth="1"/>
    <col min="6" max="6" width="30" style="1" customWidth="1"/>
    <col min="7" max="7" width="14" customWidth="1"/>
    <col min="8" max="8" width="17.140625" customWidth="1"/>
    <col min="9" max="9" width="16.85546875" customWidth="1"/>
    <col min="10" max="10" width="12.42578125" customWidth="1"/>
    <col min="11" max="11" width="13.7109375" customWidth="1"/>
    <col min="12" max="12" width="14.28515625" customWidth="1"/>
    <col min="13" max="13" width="13.7109375" customWidth="1"/>
    <col min="14" max="14" width="15.85546875" bestFit="1" customWidth="1"/>
    <col min="15" max="15" width="12.28515625" customWidth="1"/>
    <col min="16" max="16" width="12.140625" customWidth="1"/>
    <col min="17" max="17" width="14.5703125" customWidth="1"/>
    <col min="18" max="18" width="18.42578125" bestFit="1" customWidth="1"/>
  </cols>
  <sheetData>
    <row r="1" spans="1:18" ht="27" thickBot="1" x14ac:dyDescent="0.45">
      <c r="A1" s="24" t="s">
        <v>189</v>
      </c>
      <c r="B1" s="25"/>
    </row>
    <row r="2" spans="1:18" s="26" customFormat="1" ht="15" customHeight="1" thickBot="1" x14ac:dyDescent="0.3">
      <c r="A2" s="30" t="s">
        <v>191</v>
      </c>
      <c r="B2" s="28">
        <v>54413531</v>
      </c>
      <c r="D2" s="32" t="s">
        <v>194</v>
      </c>
      <c r="E2" s="33"/>
      <c r="F2" s="27"/>
    </row>
    <row r="3" spans="1:18" s="26" customFormat="1" ht="15" customHeight="1" thickBot="1" x14ac:dyDescent="0.3">
      <c r="A3" s="30" t="s">
        <v>192</v>
      </c>
      <c r="B3" s="28">
        <f>B2*0.005</f>
        <v>272067.65500000003</v>
      </c>
      <c r="D3" s="87" t="s">
        <v>204</v>
      </c>
      <c r="E3" s="86">
        <v>25000</v>
      </c>
    </row>
    <row r="4" spans="1:18" s="26" customFormat="1" ht="15" customHeight="1" thickBot="1" x14ac:dyDescent="0.3">
      <c r="A4" s="30" t="s">
        <v>193</v>
      </c>
      <c r="B4" s="29">
        <f>B2-B3</f>
        <v>54141463.344999999</v>
      </c>
      <c r="D4" s="88" t="s">
        <v>190</v>
      </c>
      <c r="E4" s="34">
        <v>100000</v>
      </c>
      <c r="F4" s="27"/>
    </row>
    <row r="5" spans="1:18" ht="15.75" thickBot="1" x14ac:dyDescent="0.3">
      <c r="A5" s="95" t="s">
        <v>210</v>
      </c>
      <c r="B5" s="96"/>
      <c r="D5" s="89" t="s">
        <v>206</v>
      </c>
      <c r="E5" s="83">
        <v>125000</v>
      </c>
    </row>
    <row r="6" spans="1:18" ht="15.75" thickBot="1" x14ac:dyDescent="0.3">
      <c r="A6" s="97"/>
      <c r="B6" s="98"/>
      <c r="D6" s="84" t="s">
        <v>195</v>
      </c>
      <c r="E6" s="85">
        <f>$H$17</f>
        <v>7675000</v>
      </c>
    </row>
    <row r="7" spans="1:18" ht="15.75" thickBot="1" x14ac:dyDescent="0.3">
      <c r="A7" s="97"/>
      <c r="B7" s="98"/>
      <c r="D7" s="82"/>
      <c r="E7" s="61"/>
    </row>
    <row r="8" spans="1:18" ht="15.75" thickBot="1" x14ac:dyDescent="0.3">
      <c r="A8" s="97"/>
      <c r="B8" s="98"/>
      <c r="D8" s="36" t="s">
        <v>202</v>
      </c>
      <c r="E8" s="37"/>
      <c r="F8" s="38"/>
    </row>
    <row r="9" spans="1:18" ht="15.75" thickBot="1" x14ac:dyDescent="0.3">
      <c r="A9" s="97"/>
      <c r="B9" s="98"/>
      <c r="D9" s="39" t="s">
        <v>196</v>
      </c>
      <c r="E9" s="59">
        <f>(B4-E6)*0.9</f>
        <v>41819817.010499999</v>
      </c>
      <c r="F9" s="40" t="s">
        <v>199</v>
      </c>
    </row>
    <row r="10" spans="1:18" ht="15.75" thickBot="1" x14ac:dyDescent="0.3">
      <c r="A10" s="97"/>
      <c r="B10" s="98"/>
      <c r="D10" s="63" t="s">
        <v>197</v>
      </c>
      <c r="E10" s="64">
        <f>E9*0.6</f>
        <v>25091890.206299998</v>
      </c>
      <c r="F10" s="43">
        <f>E10/$D$17</f>
        <v>2348.9880365381014</v>
      </c>
    </row>
    <row r="11" spans="1:18" ht="15.75" thickBot="1" x14ac:dyDescent="0.3">
      <c r="A11" s="97"/>
      <c r="B11" s="98"/>
      <c r="D11" s="41" t="s">
        <v>198</v>
      </c>
      <c r="E11" s="35">
        <f>E9*0.4</f>
        <v>16727926.804200001</v>
      </c>
      <c r="F11" s="42">
        <f>E11/$C$17</f>
        <v>681.29869279517777</v>
      </c>
      <c r="R11" s="80"/>
    </row>
    <row r="12" spans="1:18" ht="15.75" thickBot="1" x14ac:dyDescent="0.3">
      <c r="A12" s="97"/>
      <c r="B12" s="98"/>
      <c r="D12" s="60"/>
      <c r="E12" s="61"/>
      <c r="F12" s="62"/>
      <c r="H12" s="80"/>
      <c r="R12" s="80"/>
    </row>
    <row r="13" spans="1:18" ht="15.75" thickBot="1" x14ac:dyDescent="0.3">
      <c r="A13" s="97"/>
      <c r="B13" s="98"/>
      <c r="D13" s="67" t="s">
        <v>201</v>
      </c>
      <c r="E13" s="23"/>
      <c r="F13" s="70"/>
      <c r="H13" s="80"/>
    </row>
    <row r="14" spans="1:18" ht="15.75" thickBot="1" x14ac:dyDescent="0.3">
      <c r="A14" s="97"/>
      <c r="B14" s="98"/>
      <c r="D14" s="66" t="s">
        <v>196</v>
      </c>
      <c r="E14" s="81">
        <f>(B4-E6)*0.1</f>
        <v>4646646.3344999999</v>
      </c>
      <c r="F14" s="65" t="s">
        <v>200</v>
      </c>
      <c r="R14" s="80"/>
    </row>
    <row r="15" spans="1:18" ht="15.75" thickBot="1" x14ac:dyDescent="0.3">
      <c r="A15" s="97"/>
      <c r="B15" s="98"/>
      <c r="D15" s="68"/>
      <c r="E15" s="69"/>
      <c r="F15" s="43">
        <v>1147.5386060000001</v>
      </c>
      <c r="R15" s="10"/>
    </row>
    <row r="16" spans="1:18" ht="19.5" thickBot="1" x14ac:dyDescent="0.35">
      <c r="A16" s="99"/>
      <c r="B16" s="100"/>
      <c r="H16" s="22" t="s">
        <v>180</v>
      </c>
      <c r="I16" s="21" t="s">
        <v>181</v>
      </c>
      <c r="J16" s="101" t="s">
        <v>185</v>
      </c>
      <c r="K16" s="102"/>
      <c r="L16" s="102"/>
      <c r="M16" s="102"/>
      <c r="N16" s="102"/>
      <c r="O16" s="102"/>
      <c r="P16" s="103"/>
      <c r="R16" s="18"/>
    </row>
    <row r="17" spans="1:18" ht="15.75" thickBot="1" x14ac:dyDescent="0.3">
      <c r="C17" s="2">
        <f>SUM(C19:C101)</f>
        <v>24553</v>
      </c>
      <c r="D17" s="2">
        <f>SUM(D19:D101)</f>
        <v>10682</v>
      </c>
      <c r="H17" s="12">
        <f>SUM(H19:H101)</f>
        <v>7675000</v>
      </c>
      <c r="I17" s="12">
        <f>SUM(I19:I101)</f>
        <v>41819817.010499999</v>
      </c>
      <c r="J17" s="31"/>
      <c r="K17" s="55">
        <f>SUM(K19:K101)</f>
        <v>2174375.5999373575</v>
      </c>
      <c r="L17" s="18"/>
      <c r="M17" s="55">
        <f>SUM(M19:M101)</f>
        <v>2142252.3966114074</v>
      </c>
      <c r="N17" s="56">
        <f>SUM(N19:N101)</f>
        <v>391748</v>
      </c>
      <c r="O17" s="57"/>
      <c r="P17" s="58">
        <f>SUM(P19:P101)</f>
        <v>330018.36113151291</v>
      </c>
      <c r="Q17" s="10">
        <f>SUM(Q19:Q101)</f>
        <v>54141463.368180282</v>
      </c>
      <c r="R17" s="91">
        <f>SUM(R19:R101)</f>
        <v>54141463.350000001</v>
      </c>
    </row>
    <row r="18" spans="1:18" ht="60.75" thickBot="1" x14ac:dyDescent="0.3">
      <c r="A18" s="2" t="s">
        <v>165</v>
      </c>
      <c r="B18" s="3" t="s">
        <v>82</v>
      </c>
      <c r="C18" s="4" t="s">
        <v>166</v>
      </c>
      <c r="D18" s="4" t="s">
        <v>167</v>
      </c>
      <c r="E18" s="5" t="s">
        <v>164</v>
      </c>
      <c r="F18" s="4" t="s">
        <v>186</v>
      </c>
      <c r="G18" s="11" t="s">
        <v>168</v>
      </c>
      <c r="H18" s="13" t="s">
        <v>172</v>
      </c>
      <c r="I18" s="46" t="s">
        <v>182</v>
      </c>
      <c r="J18" s="50" t="s">
        <v>173</v>
      </c>
      <c r="K18" s="51" t="s">
        <v>174</v>
      </c>
      <c r="L18" s="52" t="s">
        <v>175</v>
      </c>
      <c r="M18" s="52" t="s">
        <v>176</v>
      </c>
      <c r="N18" s="53" t="s">
        <v>177</v>
      </c>
      <c r="O18" s="53" t="s">
        <v>178</v>
      </c>
      <c r="P18" s="54" t="s">
        <v>179</v>
      </c>
      <c r="Q18" s="16" t="s">
        <v>183</v>
      </c>
      <c r="R18" s="17" t="s">
        <v>184</v>
      </c>
    </row>
    <row r="19" spans="1:18" x14ac:dyDescent="0.25">
      <c r="A19" s="6" t="s">
        <v>0</v>
      </c>
      <c r="B19" s="6" t="s">
        <v>83</v>
      </c>
      <c r="C19" s="6">
        <v>122</v>
      </c>
      <c r="D19" s="6">
        <v>98</v>
      </c>
      <c r="E19" s="7">
        <v>0.80327868852459017</v>
      </c>
      <c r="F19" s="19" t="s">
        <v>187</v>
      </c>
      <c r="G19" s="14" t="s">
        <v>169</v>
      </c>
      <c r="H19" s="44">
        <f>IF(G19="Rural Arizona",$E$5,$E$4)</f>
        <v>100000</v>
      </c>
      <c r="I19" s="48">
        <f t="shared" ref="I19:I49" si="0">(C19*$F$11)+(D19*$F$10)</f>
        <v>313319.26810174563</v>
      </c>
      <c r="J19" s="77">
        <v>6.5398909158437976E-2</v>
      </c>
      <c r="K19" s="47">
        <f t="shared" ref="K19:K49" si="1">(J19*C19)*$F$15</f>
        <v>9155.8283120505366</v>
      </c>
      <c r="L19" s="71">
        <v>6.1690552229943352E-2</v>
      </c>
      <c r="M19" s="47">
        <f t="shared" ref="M19:M49" si="2">(L19*C19)*$F$15</f>
        <v>8636.6594177369643</v>
      </c>
      <c r="N19" s="73">
        <v>4831</v>
      </c>
      <c r="O19" s="71">
        <f t="shared" ref="O19:O49" si="3">N19/$N$17</f>
        <v>1.2331907246495195E-2</v>
      </c>
      <c r="P19" s="74">
        <f t="shared" ref="P19:P49" si="4">(O19*C19)*$F$15</f>
        <v>1726.4634374176562</v>
      </c>
      <c r="Q19" s="90">
        <f t="shared" ref="Q19:Q49" si="5">H19+I19+K19+M19+P19</f>
        <v>432838.21926895081</v>
      </c>
      <c r="R19" s="92">
        <f t="shared" ref="R19:R49" si="6">ROUND(Q19,2)</f>
        <v>432838.22</v>
      </c>
    </row>
    <row r="20" spans="1:18" x14ac:dyDescent="0.25">
      <c r="A20" s="6" t="s">
        <v>1</v>
      </c>
      <c r="B20" s="6" t="s">
        <v>84</v>
      </c>
      <c r="C20" s="6">
        <v>20</v>
      </c>
      <c r="D20" s="6">
        <v>3</v>
      </c>
      <c r="E20" s="7">
        <v>0.15</v>
      </c>
      <c r="F20" s="19" t="s">
        <v>187</v>
      </c>
      <c r="G20" s="14" t="s">
        <v>205</v>
      </c>
      <c r="H20" s="44">
        <f>IF(G20="Small School",$E$3,$E$4)</f>
        <v>25000</v>
      </c>
      <c r="I20" s="48">
        <f t="shared" si="0"/>
        <v>20672.93796551786</v>
      </c>
      <c r="J20" s="77">
        <v>7.4749782487158273E-2</v>
      </c>
      <c r="K20" s="47">
        <f t="shared" si="1"/>
        <v>1715.5652238823363</v>
      </c>
      <c r="L20" s="71">
        <v>6.8807310919317424E-2</v>
      </c>
      <c r="M20" s="47">
        <f t="shared" si="2"/>
        <v>1579.1809130992419</v>
      </c>
      <c r="N20" s="73">
        <v>1143</v>
      </c>
      <c r="O20" s="71">
        <f t="shared" si="3"/>
        <v>2.9176919856642534E-3</v>
      </c>
      <c r="P20" s="74">
        <f t="shared" si="4"/>
        <v>66.963283879330589</v>
      </c>
      <c r="Q20" s="90">
        <f t="shared" si="5"/>
        <v>49034.647386378776</v>
      </c>
      <c r="R20" s="92">
        <f t="shared" si="6"/>
        <v>49034.65</v>
      </c>
    </row>
    <row r="21" spans="1:18" x14ac:dyDescent="0.25">
      <c r="A21" s="6" t="s">
        <v>2</v>
      </c>
      <c r="B21" s="6" t="s">
        <v>85</v>
      </c>
      <c r="C21" s="6">
        <v>125</v>
      </c>
      <c r="D21" s="6">
        <v>30</v>
      </c>
      <c r="E21" s="7">
        <v>0.24</v>
      </c>
      <c r="F21" s="19" t="s">
        <v>187</v>
      </c>
      <c r="G21" s="14" t="s">
        <v>169</v>
      </c>
      <c r="H21" s="44">
        <f>IF(G21="Rural Arizona",$E$5,$E$4)</f>
        <v>100000</v>
      </c>
      <c r="I21" s="48">
        <f t="shared" si="0"/>
        <v>155631.97769554026</v>
      </c>
      <c r="J21" s="77">
        <v>7.6220914224261582E-2</v>
      </c>
      <c r="K21" s="47">
        <f t="shared" si="1"/>
        <v>10933.305207119338</v>
      </c>
      <c r="L21" s="71">
        <v>7.0563414595469678E-2</v>
      </c>
      <c r="M21" s="47">
        <f t="shared" si="2"/>
        <v>10121.780302435667</v>
      </c>
      <c r="N21" s="73">
        <v>1672</v>
      </c>
      <c r="O21" s="71">
        <f t="shared" si="3"/>
        <v>4.2680498687932035E-3</v>
      </c>
      <c r="P21" s="74">
        <f t="shared" si="4"/>
        <v>612.2189995966794</v>
      </c>
      <c r="Q21" s="90">
        <f t="shared" si="5"/>
        <v>277299.28220469196</v>
      </c>
      <c r="R21" s="92">
        <f t="shared" si="6"/>
        <v>277299.28000000003</v>
      </c>
    </row>
    <row r="22" spans="1:18" x14ac:dyDescent="0.25">
      <c r="A22" s="6" t="s">
        <v>3</v>
      </c>
      <c r="B22" s="6" t="s">
        <v>86</v>
      </c>
      <c r="C22" s="6">
        <v>230</v>
      </c>
      <c r="D22" s="6">
        <v>61</v>
      </c>
      <c r="E22" s="7">
        <v>0.26521739130434785</v>
      </c>
      <c r="F22" s="19" t="s">
        <v>187</v>
      </c>
      <c r="G22" s="14" t="s">
        <v>169</v>
      </c>
      <c r="H22" s="44">
        <f>IF(G22="Rural Arizona",$E$5,$E$4)</f>
        <v>100000</v>
      </c>
      <c r="I22" s="48">
        <f t="shared" si="0"/>
        <v>299986.96957171505</v>
      </c>
      <c r="J22" s="77">
        <v>8.0553290432645877E-2</v>
      </c>
      <c r="K22" s="47">
        <f t="shared" si="1"/>
        <v>21260.742440712067</v>
      </c>
      <c r="L22" s="71">
        <v>7.7190946024376095E-2</v>
      </c>
      <c r="M22" s="47">
        <f t="shared" si="2"/>
        <v>20373.305837225773</v>
      </c>
      <c r="N22" s="73">
        <v>2481</v>
      </c>
      <c r="O22" s="71">
        <f t="shared" si="3"/>
        <v>6.3331529452607289E-3</v>
      </c>
      <c r="P22" s="74">
        <f t="shared" si="4"/>
        <v>1671.5336255495372</v>
      </c>
      <c r="Q22" s="90">
        <f t="shared" si="5"/>
        <v>443292.55147520237</v>
      </c>
      <c r="R22" s="92">
        <f t="shared" si="6"/>
        <v>443292.55</v>
      </c>
    </row>
    <row r="23" spans="1:18" x14ac:dyDescent="0.25">
      <c r="A23" s="6" t="s">
        <v>4</v>
      </c>
      <c r="B23" s="6" t="s">
        <v>87</v>
      </c>
      <c r="C23" s="6">
        <v>307</v>
      </c>
      <c r="D23" s="6">
        <v>137</v>
      </c>
      <c r="E23" s="7">
        <v>0.44625407166123776</v>
      </c>
      <c r="F23" s="20" t="s">
        <v>188</v>
      </c>
      <c r="G23" s="14" t="s">
        <v>169</v>
      </c>
      <c r="H23" s="44">
        <f>IF(G23="Rural Arizona",$E$5,$E$4)</f>
        <v>100000</v>
      </c>
      <c r="I23" s="48">
        <f t="shared" si="0"/>
        <v>530970.0596938394</v>
      </c>
      <c r="J23" s="77">
        <v>7.7143738500868642E-2</v>
      </c>
      <c r="K23" s="47">
        <f t="shared" si="1"/>
        <v>27177.303369261008</v>
      </c>
      <c r="L23" s="71">
        <v>7.1369901456428408E-2</v>
      </c>
      <c r="M23" s="47">
        <f t="shared" si="2"/>
        <v>25143.213188893838</v>
      </c>
      <c r="N23" s="73">
        <v>6100</v>
      </c>
      <c r="O23" s="71">
        <f t="shared" si="3"/>
        <v>1.5571234569161808E-2</v>
      </c>
      <c r="P23" s="74">
        <f t="shared" si="4"/>
        <v>5485.6579930368498</v>
      </c>
      <c r="Q23" s="90">
        <f t="shared" si="5"/>
        <v>688776.23424503114</v>
      </c>
      <c r="R23" s="92">
        <f t="shared" si="6"/>
        <v>688776.23</v>
      </c>
    </row>
    <row r="24" spans="1:18" x14ac:dyDescent="0.25">
      <c r="A24" s="6" t="s">
        <v>5</v>
      </c>
      <c r="B24" s="6" t="s">
        <v>88</v>
      </c>
      <c r="C24" s="6">
        <v>186</v>
      </c>
      <c r="D24" s="6">
        <v>35</v>
      </c>
      <c r="E24" s="7">
        <v>0.18817204301075269</v>
      </c>
      <c r="F24" s="20" t="s">
        <v>188</v>
      </c>
      <c r="G24" s="14" t="s">
        <v>169</v>
      </c>
      <c r="H24" s="44">
        <f>IF(G24="Rural Arizona",$E$5,$E$4)</f>
        <v>100000</v>
      </c>
      <c r="I24" s="48">
        <f t="shared" si="0"/>
        <v>208936.1381387366</v>
      </c>
      <c r="J24" s="77">
        <v>7.6288248735357195E-2</v>
      </c>
      <c r="K24" s="47">
        <f t="shared" si="1"/>
        <v>16283.130173079269</v>
      </c>
      <c r="L24" s="71">
        <v>6.9687350066710049E-2</v>
      </c>
      <c r="M24" s="47">
        <f t="shared" si="2"/>
        <v>14874.219966557883</v>
      </c>
      <c r="N24" s="73">
        <v>9618</v>
      </c>
      <c r="O24" s="71">
        <f t="shared" si="3"/>
        <v>2.4551497391180045E-2</v>
      </c>
      <c r="P24" s="74">
        <f t="shared" si="4"/>
        <v>5240.3251430166538</v>
      </c>
      <c r="Q24" s="90">
        <f t="shared" si="5"/>
        <v>345333.81342139037</v>
      </c>
      <c r="R24" s="92">
        <f t="shared" si="6"/>
        <v>345333.81</v>
      </c>
    </row>
    <row r="25" spans="1:18" x14ac:dyDescent="0.25">
      <c r="A25" s="6" t="s">
        <v>6</v>
      </c>
      <c r="B25" s="6" t="s">
        <v>89</v>
      </c>
      <c r="C25" s="6">
        <v>41</v>
      </c>
      <c r="D25" s="6">
        <v>24</v>
      </c>
      <c r="E25" s="7">
        <v>0.58536585365853655</v>
      </c>
      <c r="F25" s="19" t="s">
        <v>187</v>
      </c>
      <c r="G25" s="14" t="s">
        <v>205</v>
      </c>
      <c r="H25" s="44">
        <f>IF(G25="Small School",$E$3,$E$4)</f>
        <v>25000</v>
      </c>
      <c r="I25" s="48">
        <f t="shared" si="0"/>
        <v>84308.959281516727</v>
      </c>
      <c r="J25" s="77">
        <v>8.0561452749567955E-2</v>
      </c>
      <c r="K25" s="47">
        <f t="shared" si="1"/>
        <v>3790.3424646085373</v>
      </c>
      <c r="L25" s="71">
        <v>7.3897274569165866E-2</v>
      </c>
      <c r="M25" s="47">
        <f t="shared" si="2"/>
        <v>3476.7989932982941</v>
      </c>
      <c r="N25" s="73">
        <v>6899</v>
      </c>
      <c r="O25" s="71">
        <f t="shared" si="3"/>
        <v>1.7610811031581526E-2</v>
      </c>
      <c r="P25" s="74">
        <f t="shared" si="4"/>
        <v>828.57250721012997</v>
      </c>
      <c r="Q25" s="90">
        <f t="shared" si="5"/>
        <v>117404.67324663368</v>
      </c>
      <c r="R25" s="92">
        <f t="shared" si="6"/>
        <v>117404.67</v>
      </c>
    </row>
    <row r="26" spans="1:18" x14ac:dyDescent="0.25">
      <c r="A26" s="6" t="s">
        <v>7</v>
      </c>
      <c r="B26" s="6" t="s">
        <v>90</v>
      </c>
      <c r="C26" s="6">
        <v>15</v>
      </c>
      <c r="D26" s="6">
        <v>7</v>
      </c>
      <c r="E26" s="7">
        <v>0.46666666666666667</v>
      </c>
      <c r="F26" s="20" t="s">
        <v>188</v>
      </c>
      <c r="G26" s="14" t="s">
        <v>205</v>
      </c>
      <c r="H26" s="44">
        <f>IF(G26="Small School",$E$3,$E$4)</f>
        <v>25000</v>
      </c>
      <c r="I26" s="48">
        <f t="shared" si="0"/>
        <v>26662.396647694375</v>
      </c>
      <c r="J26" s="77">
        <v>7.6268653468076E-2</v>
      </c>
      <c r="K26" s="47">
        <f t="shared" si="1"/>
        <v>1312.8183642337949</v>
      </c>
      <c r="L26" s="71">
        <v>7.039603026631748E-2</v>
      </c>
      <c r="M26" s="47">
        <f t="shared" si="2"/>
        <v>1211.7324365961565</v>
      </c>
      <c r="N26" s="73">
        <v>4153</v>
      </c>
      <c r="O26" s="71">
        <f t="shared" si="3"/>
        <v>1.0601202814053932E-2</v>
      </c>
      <c r="P26" s="74">
        <f t="shared" si="4"/>
        <v>182.4793424874409</v>
      </c>
      <c r="Q26" s="90">
        <f t="shared" si="5"/>
        <v>54369.426791011771</v>
      </c>
      <c r="R26" s="92">
        <f t="shared" si="6"/>
        <v>54369.43</v>
      </c>
    </row>
    <row r="27" spans="1:18" x14ac:dyDescent="0.25">
      <c r="A27" s="6" t="s">
        <v>8</v>
      </c>
      <c r="B27" s="6" t="s">
        <v>91</v>
      </c>
      <c r="C27" s="6">
        <v>376</v>
      </c>
      <c r="D27" s="6">
        <v>213</v>
      </c>
      <c r="E27" s="7">
        <v>0.56648936170212771</v>
      </c>
      <c r="F27" s="20" t="s">
        <v>188</v>
      </c>
      <c r="G27" s="14" t="s">
        <v>169</v>
      </c>
      <c r="H27" s="44">
        <f t="shared" ref="H27:H32" si="7">IF(G27="Rural Arizona",$E$5,$E$4)</f>
        <v>100000</v>
      </c>
      <c r="I27" s="48">
        <f t="shared" si="0"/>
        <v>756502.76027360244</v>
      </c>
      <c r="J27" s="77">
        <v>7.6434947122956717E-2</v>
      </c>
      <c r="K27" s="47">
        <f t="shared" si="1"/>
        <v>32979.731804356714</v>
      </c>
      <c r="L27" s="71">
        <v>6.9382463644959896E-2</v>
      </c>
      <c r="M27" s="47">
        <f t="shared" si="2"/>
        <v>29936.764910105594</v>
      </c>
      <c r="N27" s="73">
        <v>5777</v>
      </c>
      <c r="O27" s="71">
        <f t="shared" si="3"/>
        <v>1.4746724935417666E-2</v>
      </c>
      <c r="P27" s="74">
        <f t="shared" si="4"/>
        <v>6362.8360019709407</v>
      </c>
      <c r="Q27" s="90">
        <f t="shared" si="5"/>
        <v>925782.09299003566</v>
      </c>
      <c r="R27" s="92">
        <f t="shared" si="6"/>
        <v>925782.09</v>
      </c>
    </row>
    <row r="28" spans="1:18" x14ac:dyDescent="0.25">
      <c r="A28" s="6" t="s">
        <v>9</v>
      </c>
      <c r="B28" s="6" t="s">
        <v>92</v>
      </c>
      <c r="C28" s="6">
        <v>1407</v>
      </c>
      <c r="D28" s="6">
        <v>236</v>
      </c>
      <c r="E28" s="7">
        <v>0.16773276474769011</v>
      </c>
      <c r="F28" s="20" t="s">
        <v>188</v>
      </c>
      <c r="G28" s="14" t="s">
        <v>169</v>
      </c>
      <c r="H28" s="44">
        <f t="shared" si="7"/>
        <v>100000</v>
      </c>
      <c r="I28" s="48">
        <f t="shared" si="0"/>
        <v>1512948.437385807</v>
      </c>
      <c r="J28" s="77">
        <v>7.489534432247362E-2</v>
      </c>
      <c r="K28" s="47">
        <f t="shared" si="1"/>
        <v>120925.03572071987</v>
      </c>
      <c r="L28" s="71">
        <v>6.8458578941795203E-2</v>
      </c>
      <c r="M28" s="47">
        <f t="shared" si="2"/>
        <v>110532.31918238534</v>
      </c>
      <c r="N28" s="73">
        <v>1143</v>
      </c>
      <c r="O28" s="71">
        <f t="shared" si="3"/>
        <v>2.9176919856642534E-3</v>
      </c>
      <c r="P28" s="74">
        <f t="shared" si="4"/>
        <v>4710.8670209109068</v>
      </c>
      <c r="Q28" s="90">
        <f t="shared" si="5"/>
        <v>1849116.6593098233</v>
      </c>
      <c r="R28" s="92">
        <f t="shared" si="6"/>
        <v>1849116.66</v>
      </c>
    </row>
    <row r="29" spans="1:18" x14ac:dyDescent="0.25">
      <c r="A29" s="6" t="s">
        <v>10</v>
      </c>
      <c r="B29" s="6" t="s">
        <v>93</v>
      </c>
      <c r="C29" s="6">
        <v>578</v>
      </c>
      <c r="D29" s="6">
        <v>578</v>
      </c>
      <c r="E29" s="7">
        <v>1</v>
      </c>
      <c r="F29" s="19" t="s">
        <v>187</v>
      </c>
      <c r="G29" s="14" t="s">
        <v>169</v>
      </c>
      <c r="H29" s="44">
        <f t="shared" si="7"/>
        <v>100000</v>
      </c>
      <c r="I29" s="48">
        <f t="shared" si="0"/>
        <v>1751505.7295546352</v>
      </c>
      <c r="J29" s="77">
        <v>5.9280337643349931E-2</v>
      </c>
      <c r="K29" s="47">
        <f t="shared" si="1"/>
        <v>39319.30314098137</v>
      </c>
      <c r="L29" s="71">
        <v>5.7645520171791476E-2</v>
      </c>
      <c r="M29" s="47">
        <f t="shared" si="2"/>
        <v>38234.965799127676</v>
      </c>
      <c r="N29" s="73">
        <v>8387</v>
      </c>
      <c r="O29" s="71">
        <f t="shared" si="3"/>
        <v>2.1409171201895096E-2</v>
      </c>
      <c r="P29" s="74">
        <f t="shared" si="4"/>
        <v>14200.21757549679</v>
      </c>
      <c r="Q29" s="90">
        <f t="shared" si="5"/>
        <v>1943260.2160702411</v>
      </c>
      <c r="R29" s="92">
        <f t="shared" si="6"/>
        <v>1943260.22</v>
      </c>
    </row>
    <row r="30" spans="1:18" x14ac:dyDescent="0.25">
      <c r="A30" s="6" t="s">
        <v>11</v>
      </c>
      <c r="B30" s="6" t="s">
        <v>94</v>
      </c>
      <c r="C30" s="6">
        <v>315</v>
      </c>
      <c r="D30" s="6">
        <v>98</v>
      </c>
      <c r="E30" s="7">
        <v>0.31111111111111112</v>
      </c>
      <c r="F30" s="19" t="s">
        <v>187</v>
      </c>
      <c r="G30" s="14" t="s">
        <v>171</v>
      </c>
      <c r="H30" s="44">
        <f t="shared" si="7"/>
        <v>100000</v>
      </c>
      <c r="I30" s="48">
        <f t="shared" si="0"/>
        <v>444809.91581121495</v>
      </c>
      <c r="J30" s="77">
        <v>6.9936897184369365E-2</v>
      </c>
      <c r="K30" s="47">
        <f t="shared" si="1"/>
        <v>25280.416193418714</v>
      </c>
      <c r="L30" s="71">
        <v>7.6823084496342994E-2</v>
      </c>
      <c r="M30" s="47">
        <f t="shared" si="2"/>
        <v>27769.598416839402</v>
      </c>
      <c r="N30" s="73">
        <v>2361</v>
      </c>
      <c r="O30" s="71">
        <f t="shared" si="3"/>
        <v>6.0268335766870537E-3</v>
      </c>
      <c r="P30" s="74">
        <f t="shared" si="4"/>
        <v>2178.5476233734189</v>
      </c>
      <c r="Q30" s="90">
        <f t="shared" si="5"/>
        <v>600038.47804484644</v>
      </c>
      <c r="R30" s="92">
        <f t="shared" si="6"/>
        <v>600038.48</v>
      </c>
    </row>
    <row r="31" spans="1:18" x14ac:dyDescent="0.25">
      <c r="A31" s="6" t="s">
        <v>12</v>
      </c>
      <c r="B31" s="6" t="s">
        <v>95</v>
      </c>
      <c r="C31" s="6">
        <v>89</v>
      </c>
      <c r="D31" s="6">
        <v>68</v>
      </c>
      <c r="E31" s="7">
        <v>0.7640449438202247</v>
      </c>
      <c r="F31" s="19" t="s">
        <v>187</v>
      </c>
      <c r="G31" s="14" t="s">
        <v>169</v>
      </c>
      <c r="H31" s="44">
        <f t="shared" si="7"/>
        <v>100000</v>
      </c>
      <c r="I31" s="48">
        <f t="shared" si="0"/>
        <v>220366.7701433617</v>
      </c>
      <c r="J31" s="77">
        <v>7.4810073477243486E-2</v>
      </c>
      <c r="K31" s="47">
        <f t="shared" si="1"/>
        <v>7640.4228215221874</v>
      </c>
      <c r="L31" s="71">
        <v>6.8887629754816715E-2</v>
      </c>
      <c r="M31" s="47">
        <f t="shared" si="2"/>
        <v>7035.5581011342983</v>
      </c>
      <c r="N31" s="73">
        <v>4830</v>
      </c>
      <c r="O31" s="71">
        <f t="shared" si="3"/>
        <v>1.2329354585090416E-2</v>
      </c>
      <c r="P31" s="74">
        <f t="shared" si="4"/>
        <v>1259.2085232374384</v>
      </c>
      <c r="Q31" s="90">
        <f t="shared" si="5"/>
        <v>336301.95958925562</v>
      </c>
      <c r="R31" s="92">
        <f t="shared" si="6"/>
        <v>336301.96</v>
      </c>
    </row>
    <row r="32" spans="1:18" x14ac:dyDescent="0.25">
      <c r="A32" s="6" t="s">
        <v>13</v>
      </c>
      <c r="B32" s="6" t="s">
        <v>96</v>
      </c>
      <c r="C32" s="6">
        <v>248</v>
      </c>
      <c r="D32" s="6">
        <v>103</v>
      </c>
      <c r="E32" s="7">
        <v>0.41532258064516131</v>
      </c>
      <c r="F32" s="20" t="s">
        <v>188</v>
      </c>
      <c r="G32" s="14" t="s">
        <v>169</v>
      </c>
      <c r="H32" s="44">
        <f t="shared" si="7"/>
        <v>100000</v>
      </c>
      <c r="I32" s="48">
        <f t="shared" si="0"/>
        <v>410907.84357662848</v>
      </c>
      <c r="J32" s="77">
        <v>7.0280999487431703E-2</v>
      </c>
      <c r="K32" s="47">
        <f t="shared" si="1"/>
        <v>20001.239724663334</v>
      </c>
      <c r="L32" s="71">
        <v>6.7963028676847476E-2</v>
      </c>
      <c r="M32" s="47">
        <f t="shared" si="2"/>
        <v>19341.56939846716</v>
      </c>
      <c r="N32" s="73">
        <v>5851</v>
      </c>
      <c r="O32" s="71">
        <f t="shared" si="3"/>
        <v>1.4935621879371433E-2</v>
      </c>
      <c r="P32" s="74">
        <f t="shared" si="4"/>
        <v>4250.5222723768547</v>
      </c>
      <c r="Q32" s="90">
        <f t="shared" si="5"/>
        <v>554501.17497213581</v>
      </c>
      <c r="R32" s="92">
        <f t="shared" si="6"/>
        <v>554501.17000000004</v>
      </c>
    </row>
    <row r="33" spans="1:18" x14ac:dyDescent="0.25">
      <c r="A33" s="6" t="s">
        <v>14</v>
      </c>
      <c r="B33" s="6" t="s">
        <v>97</v>
      </c>
      <c r="C33" s="6">
        <v>10</v>
      </c>
      <c r="D33" s="6">
        <v>2</v>
      </c>
      <c r="E33" s="7">
        <v>0.2</v>
      </c>
      <c r="F33" s="19" t="s">
        <v>187</v>
      </c>
      <c r="G33" s="14" t="s">
        <v>205</v>
      </c>
      <c r="H33" s="44">
        <f>IF(G33="Small School",$E$3,$E$4)</f>
        <v>25000</v>
      </c>
      <c r="I33" s="48">
        <f t="shared" si="0"/>
        <v>11510.96300102798</v>
      </c>
      <c r="J33" s="77">
        <v>7.4903213286011724E-2</v>
      </c>
      <c r="K33" s="47">
        <f t="shared" si="1"/>
        <v>859.54328959150587</v>
      </c>
      <c r="L33" s="71">
        <v>8.3396103533002877E-2</v>
      </c>
      <c r="M33" s="47">
        <f t="shared" si="2"/>
        <v>957.00248394093796</v>
      </c>
      <c r="N33" s="73">
        <v>2121</v>
      </c>
      <c r="O33" s="71">
        <f t="shared" si="3"/>
        <v>5.414194839539704E-3</v>
      </c>
      <c r="P33" s="74">
        <f t="shared" si="4"/>
        <v>62.129975987777861</v>
      </c>
      <c r="Q33" s="90">
        <f t="shared" si="5"/>
        <v>38389.638750548205</v>
      </c>
      <c r="R33" s="92">
        <f t="shared" si="6"/>
        <v>38389.64</v>
      </c>
    </row>
    <row r="34" spans="1:18" x14ac:dyDescent="0.25">
      <c r="A34" s="6" t="s">
        <v>15</v>
      </c>
      <c r="B34" s="6" t="s">
        <v>98</v>
      </c>
      <c r="C34" s="6">
        <v>222</v>
      </c>
      <c r="D34" s="6">
        <v>93</v>
      </c>
      <c r="E34" s="7">
        <v>0.41891891891891891</v>
      </c>
      <c r="F34" s="20" t="s">
        <v>188</v>
      </c>
      <c r="G34" s="14" t="s">
        <v>169</v>
      </c>
      <c r="H34" s="44">
        <f>IF(G34="Rural Arizona",$E$5,$E$4)</f>
        <v>100000</v>
      </c>
      <c r="I34" s="48">
        <f t="shared" si="0"/>
        <v>369704.19719857292</v>
      </c>
      <c r="J34" s="77">
        <v>7.7678626574872595E-2</v>
      </c>
      <c r="K34" s="47">
        <f t="shared" si="1"/>
        <v>19788.907473970696</v>
      </c>
      <c r="L34" s="71">
        <v>7.1730682507544927E-2</v>
      </c>
      <c r="M34" s="47">
        <f t="shared" si="2"/>
        <v>18273.647485494348</v>
      </c>
      <c r="N34" s="73">
        <v>8660</v>
      </c>
      <c r="O34" s="71">
        <f t="shared" si="3"/>
        <v>2.2106047765400205E-2</v>
      </c>
      <c r="P34" s="74">
        <f t="shared" si="4"/>
        <v>5631.5945985866429</v>
      </c>
      <c r="Q34" s="90">
        <f t="shared" si="5"/>
        <v>513398.34675662458</v>
      </c>
      <c r="R34" s="92">
        <f t="shared" si="6"/>
        <v>513398.35</v>
      </c>
    </row>
    <row r="35" spans="1:18" x14ac:dyDescent="0.25">
      <c r="A35" s="6" t="s">
        <v>16</v>
      </c>
      <c r="B35" s="6" t="s">
        <v>99</v>
      </c>
      <c r="C35" s="6">
        <v>116</v>
      </c>
      <c r="D35" s="6">
        <v>10</v>
      </c>
      <c r="E35" s="7">
        <v>8.6206896551724144E-2</v>
      </c>
      <c r="F35" s="19" t="s">
        <v>187</v>
      </c>
      <c r="G35" s="14" t="s">
        <v>169</v>
      </c>
      <c r="H35" s="44">
        <f>IF(G35="Rural Arizona",$E$5,$E$4)</f>
        <v>100000</v>
      </c>
      <c r="I35" s="48">
        <f t="shared" si="0"/>
        <v>102520.52872962164</v>
      </c>
      <c r="J35" s="77">
        <v>6.9788841378467165E-2</v>
      </c>
      <c r="K35" s="47">
        <f t="shared" si="1"/>
        <v>9289.9052109769545</v>
      </c>
      <c r="L35" s="71">
        <v>6.7435305927434533E-2</v>
      </c>
      <c r="M35" s="47">
        <f t="shared" si="2"/>
        <v>8976.6155672616042</v>
      </c>
      <c r="N35" s="73">
        <v>3990</v>
      </c>
      <c r="O35" s="71">
        <f t="shared" si="3"/>
        <v>1.018511900507469E-2</v>
      </c>
      <c r="P35" s="74">
        <f t="shared" si="4"/>
        <v>1355.7868027431921</v>
      </c>
      <c r="Q35" s="90">
        <f t="shared" si="5"/>
        <v>222142.83631060339</v>
      </c>
      <c r="R35" s="92">
        <f t="shared" si="6"/>
        <v>222142.84</v>
      </c>
    </row>
    <row r="36" spans="1:18" x14ac:dyDescent="0.25">
      <c r="A36" s="6" t="s">
        <v>17</v>
      </c>
      <c r="B36" s="6" t="s">
        <v>100</v>
      </c>
      <c r="C36" s="6">
        <v>38</v>
      </c>
      <c r="D36" s="6">
        <v>22</v>
      </c>
      <c r="E36" s="7">
        <v>0.57894736842105265</v>
      </c>
      <c r="F36" s="19" t="s">
        <v>187</v>
      </c>
      <c r="G36" s="14" t="s">
        <v>205</v>
      </c>
      <c r="H36" s="44">
        <f>IF(G36="Small School",$E$3,$E$4)</f>
        <v>25000</v>
      </c>
      <c r="I36" s="48">
        <f t="shared" si="0"/>
        <v>77567.087130054977</v>
      </c>
      <c r="J36" s="77">
        <v>8.283577750645145E-2</v>
      </c>
      <c r="K36" s="47">
        <f t="shared" si="1"/>
        <v>3612.1756005738193</v>
      </c>
      <c r="L36" s="71">
        <v>7.4414225847857493E-2</v>
      </c>
      <c r="M36" s="47">
        <f t="shared" si="2"/>
        <v>3244.9414858487435</v>
      </c>
      <c r="N36" s="73">
        <v>6895</v>
      </c>
      <c r="O36" s="71">
        <f t="shared" si="3"/>
        <v>1.7600600385962405E-2</v>
      </c>
      <c r="P36" s="74">
        <f t="shared" si="4"/>
        <v>767.50000040347379</v>
      </c>
      <c r="Q36" s="90">
        <f t="shared" si="5"/>
        <v>110191.70421688101</v>
      </c>
      <c r="R36" s="92">
        <f t="shared" si="6"/>
        <v>110191.7</v>
      </c>
    </row>
    <row r="37" spans="1:18" x14ac:dyDescent="0.25">
      <c r="A37" s="6" t="s">
        <v>18</v>
      </c>
      <c r="B37" s="6" t="s">
        <v>101</v>
      </c>
      <c r="C37" s="6">
        <v>26</v>
      </c>
      <c r="D37" s="6">
        <v>24</v>
      </c>
      <c r="E37" s="7">
        <v>0.92307692307692313</v>
      </c>
      <c r="F37" s="19" t="s">
        <v>187</v>
      </c>
      <c r="G37" s="14" t="s">
        <v>205</v>
      </c>
      <c r="H37" s="44">
        <f>IF(G37="Small School",$E$3,$E$4)</f>
        <v>25000</v>
      </c>
      <c r="I37" s="48">
        <f t="shared" si="0"/>
        <v>74089.478889589052</v>
      </c>
      <c r="J37" s="77">
        <v>7.9084132329539883E-2</v>
      </c>
      <c r="K37" s="47">
        <f t="shared" si="1"/>
        <v>2359.5544692241533</v>
      </c>
      <c r="L37" s="71">
        <v>7.2124458374697706E-2</v>
      </c>
      <c r="M37" s="47">
        <f t="shared" si="2"/>
        <v>2151.9056109669464</v>
      </c>
      <c r="N37" s="73">
        <v>5342</v>
      </c>
      <c r="O37" s="71">
        <f t="shared" si="3"/>
        <v>1.3636317224338095E-2</v>
      </c>
      <c r="P37" s="74">
        <f t="shared" si="4"/>
        <v>406.85321192335891</v>
      </c>
      <c r="Q37" s="90">
        <f t="shared" si="5"/>
        <v>104007.79218170351</v>
      </c>
      <c r="R37" s="92">
        <f t="shared" si="6"/>
        <v>104007.79</v>
      </c>
    </row>
    <row r="38" spans="1:18" x14ac:dyDescent="0.25">
      <c r="A38" s="6" t="s">
        <v>19</v>
      </c>
      <c r="B38" s="6" t="s">
        <v>102</v>
      </c>
      <c r="C38" s="6">
        <v>105</v>
      </c>
      <c r="D38" s="6">
        <v>13</v>
      </c>
      <c r="E38" s="7">
        <v>0.12380952380952381</v>
      </c>
      <c r="F38" s="20" t="s">
        <v>188</v>
      </c>
      <c r="G38" s="14" t="s">
        <v>169</v>
      </c>
      <c r="H38" s="44">
        <f>IF(G38="Rural Arizona",$E$5,$E$4)</f>
        <v>100000</v>
      </c>
      <c r="I38" s="48">
        <f t="shared" si="0"/>
        <v>102073.20721848898</v>
      </c>
      <c r="J38" s="77">
        <v>7.7731944696106614E-2</v>
      </c>
      <c r="K38" s="47">
        <f t="shared" si="1"/>
        <v>9366.0427831151246</v>
      </c>
      <c r="L38" s="71">
        <v>7.1423803092669311E-2</v>
      </c>
      <c r="M38" s="47">
        <f t="shared" si="2"/>
        <v>8605.9650007989239</v>
      </c>
      <c r="N38" s="73">
        <v>5905</v>
      </c>
      <c r="O38" s="71">
        <f t="shared" si="3"/>
        <v>1.5073465595229586E-2</v>
      </c>
      <c r="P38" s="74">
        <f t="shared" si="4"/>
        <v>1816.2252881575655</v>
      </c>
      <c r="Q38" s="90">
        <f t="shared" si="5"/>
        <v>221861.44029056057</v>
      </c>
      <c r="R38" s="92">
        <f t="shared" si="6"/>
        <v>221861.44</v>
      </c>
    </row>
    <row r="39" spans="1:18" x14ac:dyDescent="0.25">
      <c r="A39" s="6" t="s">
        <v>20</v>
      </c>
      <c r="B39" s="6" t="s">
        <v>103</v>
      </c>
      <c r="C39" s="6">
        <v>42</v>
      </c>
      <c r="D39" s="6">
        <v>32</v>
      </c>
      <c r="E39" s="7">
        <v>0.76190476190476186</v>
      </c>
      <c r="F39" s="20" t="s">
        <v>188</v>
      </c>
      <c r="G39" s="14" t="s">
        <v>205</v>
      </c>
      <c r="H39" s="44">
        <f>IF(G39="Small School",$E$3,$E$4)</f>
        <v>25000</v>
      </c>
      <c r="I39" s="48">
        <f t="shared" si="0"/>
        <v>103782.16226661671</v>
      </c>
      <c r="J39" s="77">
        <v>7.7691431476667475E-2</v>
      </c>
      <c r="K39" s="47">
        <f t="shared" si="1"/>
        <v>3744.4645129449395</v>
      </c>
      <c r="L39" s="71">
        <v>7.0889332719131282E-2</v>
      </c>
      <c r="M39" s="47">
        <f t="shared" si="2"/>
        <v>3416.6263340488485</v>
      </c>
      <c r="N39" s="73">
        <v>5379</v>
      </c>
      <c r="O39" s="71">
        <f t="shared" si="3"/>
        <v>1.3730765696314979E-2</v>
      </c>
      <c r="P39" s="74">
        <f t="shared" si="4"/>
        <v>661.77651651140025</v>
      </c>
      <c r="Q39" s="90">
        <f t="shared" si="5"/>
        <v>136605.02963012189</v>
      </c>
      <c r="R39" s="92">
        <f t="shared" si="6"/>
        <v>136605.03</v>
      </c>
    </row>
    <row r="40" spans="1:18" x14ac:dyDescent="0.25">
      <c r="A40" s="6" t="s">
        <v>21</v>
      </c>
      <c r="B40" s="6" t="s">
        <v>104</v>
      </c>
      <c r="C40" s="6">
        <v>94</v>
      </c>
      <c r="D40" s="6">
        <v>50</v>
      </c>
      <c r="E40" s="7">
        <v>0.53191489361702127</v>
      </c>
      <c r="F40" s="20" t="s">
        <v>188</v>
      </c>
      <c r="G40" s="14" t="s">
        <v>171</v>
      </c>
      <c r="H40" s="44">
        <f t="shared" ref="H40:H47" si="8">IF(G40="Rural Arizona",$E$5,$E$4)</f>
        <v>100000</v>
      </c>
      <c r="I40" s="48">
        <f t="shared" si="0"/>
        <v>181491.47894965179</v>
      </c>
      <c r="J40" s="77">
        <v>6.8740638383156472E-2</v>
      </c>
      <c r="K40" s="47">
        <f t="shared" si="1"/>
        <v>7414.9584165012029</v>
      </c>
      <c r="L40" s="71">
        <v>7.5415075631315789E-2</v>
      </c>
      <c r="M40" s="47">
        <f t="shared" si="2"/>
        <v>8134.9208115664014</v>
      </c>
      <c r="N40" s="73">
        <v>3321</v>
      </c>
      <c r="O40" s="71">
        <f t="shared" si="3"/>
        <v>8.4773885252764532E-3</v>
      </c>
      <c r="P40" s="74">
        <f t="shared" si="4"/>
        <v>914.44427741671689</v>
      </c>
      <c r="Q40" s="90">
        <f t="shared" si="5"/>
        <v>297955.80245513614</v>
      </c>
      <c r="R40" s="92">
        <f t="shared" si="6"/>
        <v>297955.8</v>
      </c>
    </row>
    <row r="41" spans="1:18" x14ac:dyDescent="0.25">
      <c r="A41" s="6" t="s">
        <v>22</v>
      </c>
      <c r="B41" s="6" t="s">
        <v>105</v>
      </c>
      <c r="C41" s="6">
        <v>75</v>
      </c>
      <c r="D41" s="6">
        <v>31</v>
      </c>
      <c r="E41" s="7">
        <v>0.41333333333333333</v>
      </c>
      <c r="F41" s="20" t="s">
        <v>188</v>
      </c>
      <c r="G41" s="14" t="s">
        <v>171</v>
      </c>
      <c r="H41" s="44">
        <f t="shared" si="8"/>
        <v>100000</v>
      </c>
      <c r="I41" s="48">
        <f t="shared" si="0"/>
        <v>123916.03109231948</v>
      </c>
      <c r="J41" s="77">
        <v>6.7365085225524576E-2</v>
      </c>
      <c r="K41" s="47">
        <f t="shared" si="1"/>
        <v>5797.8026994577258</v>
      </c>
      <c r="L41" s="71">
        <v>7.4869751605029428E-2</v>
      </c>
      <c r="M41" s="47">
        <f t="shared" si="2"/>
        <v>6443.69477913013</v>
      </c>
      <c r="N41" s="73">
        <v>7501</v>
      </c>
      <c r="O41" s="71">
        <f t="shared" si="3"/>
        <v>1.9147513197259464E-2</v>
      </c>
      <c r="P41" s="74">
        <f t="shared" si="4"/>
        <v>1647.9382952062297</v>
      </c>
      <c r="Q41" s="90">
        <f t="shared" si="5"/>
        <v>237805.46686611357</v>
      </c>
      <c r="R41" s="92">
        <f t="shared" si="6"/>
        <v>237805.47</v>
      </c>
    </row>
    <row r="42" spans="1:18" x14ac:dyDescent="0.25">
      <c r="A42" s="6" t="s">
        <v>23</v>
      </c>
      <c r="B42" s="6" t="s">
        <v>106</v>
      </c>
      <c r="C42" s="6">
        <v>259</v>
      </c>
      <c r="D42" s="6">
        <v>26</v>
      </c>
      <c r="E42" s="7">
        <v>0.10038610038610038</v>
      </c>
      <c r="F42" s="19" t="s">
        <v>187</v>
      </c>
      <c r="G42" s="14" t="s">
        <v>169</v>
      </c>
      <c r="H42" s="44">
        <f t="shared" si="8"/>
        <v>100000</v>
      </c>
      <c r="I42" s="48">
        <f t="shared" si="0"/>
        <v>237530.05038394168</v>
      </c>
      <c r="J42" s="77">
        <v>7.9924130427799958E-2</v>
      </c>
      <c r="K42" s="47">
        <f t="shared" si="1"/>
        <v>23754.450531171857</v>
      </c>
      <c r="L42" s="71">
        <v>7.3055348055368646E-2</v>
      </c>
      <c r="M42" s="47">
        <f t="shared" si="2"/>
        <v>21712.962557490358</v>
      </c>
      <c r="N42" s="73">
        <v>3264</v>
      </c>
      <c r="O42" s="71">
        <f t="shared" si="3"/>
        <v>8.3318868252039574E-3</v>
      </c>
      <c r="P42" s="74">
        <f t="shared" si="4"/>
        <v>2476.340904320778</v>
      </c>
      <c r="Q42" s="90">
        <f t="shared" si="5"/>
        <v>385473.80437692464</v>
      </c>
      <c r="R42" s="92">
        <f t="shared" si="6"/>
        <v>385473.8</v>
      </c>
    </row>
    <row r="43" spans="1:18" x14ac:dyDescent="0.25">
      <c r="A43" s="6" t="s">
        <v>24</v>
      </c>
      <c r="B43" s="6" t="s">
        <v>107</v>
      </c>
      <c r="C43" s="6">
        <v>79</v>
      </c>
      <c r="D43" s="6">
        <v>57</v>
      </c>
      <c r="E43" s="7">
        <v>0.72151898734177211</v>
      </c>
      <c r="F43" s="20" t="s">
        <v>188</v>
      </c>
      <c r="G43" s="14" t="s">
        <v>169</v>
      </c>
      <c r="H43" s="44">
        <f t="shared" si="8"/>
        <v>100000</v>
      </c>
      <c r="I43" s="48">
        <f t="shared" si="0"/>
        <v>187714.91481349082</v>
      </c>
      <c r="J43" s="77">
        <v>7.7728968583558225E-2</v>
      </c>
      <c r="K43" s="47">
        <f t="shared" si="1"/>
        <v>7046.5623880813428</v>
      </c>
      <c r="L43" s="71">
        <v>7.0180144357048016E-2</v>
      </c>
      <c r="M43" s="47">
        <f t="shared" si="2"/>
        <v>6362.2195769248865</v>
      </c>
      <c r="N43" s="73">
        <v>8239</v>
      </c>
      <c r="O43" s="71">
        <f t="shared" si="3"/>
        <v>2.1031377313987562E-2</v>
      </c>
      <c r="P43" s="74">
        <f t="shared" si="4"/>
        <v>1906.6110750071116</v>
      </c>
      <c r="Q43" s="90">
        <f t="shared" si="5"/>
        <v>303030.30785350414</v>
      </c>
      <c r="R43" s="92">
        <f t="shared" si="6"/>
        <v>303030.31</v>
      </c>
    </row>
    <row r="44" spans="1:18" x14ac:dyDescent="0.25">
      <c r="A44" s="6" t="s">
        <v>25</v>
      </c>
      <c r="B44" s="6" t="s">
        <v>108</v>
      </c>
      <c r="C44" s="6">
        <v>194</v>
      </c>
      <c r="D44" s="6">
        <v>100</v>
      </c>
      <c r="E44" s="7">
        <v>0.51546391752577314</v>
      </c>
      <c r="F44" s="20" t="s">
        <v>188</v>
      </c>
      <c r="G44" s="15" t="s">
        <v>170</v>
      </c>
      <c r="H44" s="45">
        <f t="shared" si="8"/>
        <v>125000</v>
      </c>
      <c r="I44" s="48">
        <f t="shared" si="0"/>
        <v>367070.75005607464</v>
      </c>
      <c r="J44" s="77">
        <v>8.9284146577002094E-2</v>
      </c>
      <c r="K44" s="47">
        <f t="shared" si="1"/>
        <v>19876.658989569296</v>
      </c>
      <c r="L44" s="71">
        <v>8.6720629290818751E-2</v>
      </c>
      <c r="M44" s="47">
        <f t="shared" si="2"/>
        <v>19305.962389278811</v>
      </c>
      <c r="N44" s="73">
        <v>2500</v>
      </c>
      <c r="O44" s="71">
        <f t="shared" si="3"/>
        <v>6.3816535119515603E-3</v>
      </c>
      <c r="P44" s="74">
        <f t="shared" si="4"/>
        <v>1420.6995923655004</v>
      </c>
      <c r="Q44" s="90">
        <f t="shared" si="5"/>
        <v>532674.07102728833</v>
      </c>
      <c r="R44" s="92">
        <f t="shared" si="6"/>
        <v>532674.06999999995</v>
      </c>
    </row>
    <row r="45" spans="1:18" x14ac:dyDescent="0.25">
      <c r="A45" s="6" t="s">
        <v>26</v>
      </c>
      <c r="B45" s="6" t="s">
        <v>109</v>
      </c>
      <c r="C45" s="6">
        <v>184</v>
      </c>
      <c r="D45" s="6">
        <v>68</v>
      </c>
      <c r="E45" s="7">
        <v>0.36956521739130432</v>
      </c>
      <c r="F45" s="20" t="s">
        <v>188</v>
      </c>
      <c r="G45" s="14" t="s">
        <v>171</v>
      </c>
      <c r="H45" s="44">
        <f t="shared" si="8"/>
        <v>100000</v>
      </c>
      <c r="I45" s="48">
        <f t="shared" si="0"/>
        <v>285090.14595890359</v>
      </c>
      <c r="J45" s="77">
        <v>6.9085476412715785E-2</v>
      </c>
      <c r="K45" s="47">
        <f t="shared" si="1"/>
        <v>14587.198238738851</v>
      </c>
      <c r="L45" s="71">
        <v>7.587949402941839E-2</v>
      </c>
      <c r="M45" s="47">
        <f t="shared" si="2"/>
        <v>16021.735379660755</v>
      </c>
      <c r="N45" s="73">
        <v>2872</v>
      </c>
      <c r="O45" s="71">
        <f t="shared" si="3"/>
        <v>7.3312435545299526E-3</v>
      </c>
      <c r="P45" s="74">
        <f t="shared" si="4"/>
        <v>1547.9708416213689</v>
      </c>
      <c r="Q45" s="90">
        <f t="shared" si="5"/>
        <v>417247.05041892454</v>
      </c>
      <c r="R45" s="92">
        <f t="shared" si="6"/>
        <v>417247.05</v>
      </c>
    </row>
    <row r="46" spans="1:18" x14ac:dyDescent="0.25">
      <c r="A46" s="6" t="s">
        <v>27</v>
      </c>
      <c r="B46" s="6" t="s">
        <v>110</v>
      </c>
      <c r="C46" s="6">
        <v>236</v>
      </c>
      <c r="D46" s="6">
        <v>192</v>
      </c>
      <c r="E46" s="7">
        <v>0.81355932203389836</v>
      </c>
      <c r="F46" s="20" t="s">
        <v>188</v>
      </c>
      <c r="G46" s="15" t="s">
        <v>170</v>
      </c>
      <c r="H46" s="45">
        <f t="shared" si="8"/>
        <v>125000</v>
      </c>
      <c r="I46" s="48">
        <f t="shared" si="0"/>
        <v>611792.1945149774</v>
      </c>
      <c r="J46" s="77">
        <v>9.3372808016397177E-2</v>
      </c>
      <c r="K46" s="47">
        <f t="shared" si="1"/>
        <v>25287.140860068324</v>
      </c>
      <c r="L46" s="71">
        <v>0.18925074015030743</v>
      </c>
      <c r="M46" s="47">
        <f t="shared" si="2"/>
        <v>51252.717206626279</v>
      </c>
      <c r="N46" s="73">
        <v>4202</v>
      </c>
      <c r="O46" s="71">
        <f t="shared" si="3"/>
        <v>1.0726283222888183E-2</v>
      </c>
      <c r="P46" s="74">
        <f t="shared" si="4"/>
        <v>2904.8824869284135</v>
      </c>
      <c r="Q46" s="90">
        <f t="shared" si="5"/>
        <v>816236.93506860046</v>
      </c>
      <c r="R46" s="92">
        <f t="shared" si="6"/>
        <v>816236.94</v>
      </c>
    </row>
    <row r="47" spans="1:18" x14ac:dyDescent="0.25">
      <c r="A47" s="6" t="s">
        <v>28</v>
      </c>
      <c r="B47" s="6" t="s">
        <v>111</v>
      </c>
      <c r="C47" s="6">
        <v>280</v>
      </c>
      <c r="D47" s="6">
        <v>280</v>
      </c>
      <c r="E47" s="7">
        <v>1</v>
      </c>
      <c r="F47" s="19" t="s">
        <v>187</v>
      </c>
      <c r="G47" s="15" t="s">
        <v>170</v>
      </c>
      <c r="H47" s="45">
        <f t="shared" si="8"/>
        <v>125000</v>
      </c>
      <c r="I47" s="48">
        <f t="shared" si="0"/>
        <v>848480.28421331814</v>
      </c>
      <c r="J47" s="77">
        <v>0.10263041695578123</v>
      </c>
      <c r="K47" s="47">
        <f t="shared" si="1"/>
        <v>32976.262369858072</v>
      </c>
      <c r="L47" s="71">
        <v>0.16728694884249037</v>
      </c>
      <c r="M47" s="47">
        <f t="shared" si="2"/>
        <v>53751.104981477321</v>
      </c>
      <c r="N47" s="73">
        <v>3978</v>
      </c>
      <c r="O47" s="71">
        <f t="shared" si="3"/>
        <v>1.0154487068217323E-2</v>
      </c>
      <c r="P47" s="74">
        <f t="shared" si="4"/>
        <v>3262.7464617739979</v>
      </c>
      <c r="Q47" s="90">
        <f t="shared" si="5"/>
        <v>1063470.3980264275</v>
      </c>
      <c r="R47" s="92">
        <f t="shared" si="6"/>
        <v>1063470.3999999999</v>
      </c>
    </row>
    <row r="48" spans="1:18" x14ac:dyDescent="0.25">
      <c r="A48" s="6" t="s">
        <v>29</v>
      </c>
      <c r="B48" s="6" t="s">
        <v>112</v>
      </c>
      <c r="C48" s="6">
        <v>21</v>
      </c>
      <c r="D48" s="6">
        <v>18</v>
      </c>
      <c r="E48" s="7">
        <v>0.8571428571428571</v>
      </c>
      <c r="F48" s="19" t="s">
        <v>187</v>
      </c>
      <c r="G48" s="14" t="s">
        <v>205</v>
      </c>
      <c r="H48" s="44">
        <f>IF(G48="Small School",$E$3,$E$4)</f>
        <v>25000</v>
      </c>
      <c r="I48" s="48">
        <f t="shared" si="0"/>
        <v>56589.057206384561</v>
      </c>
      <c r="J48" s="77">
        <v>7.6555178376617614E-2</v>
      </c>
      <c r="K48" s="47">
        <f t="shared" si="1"/>
        <v>1844.8504762040877</v>
      </c>
      <c r="L48" s="71">
        <v>7.0708701046115194E-2</v>
      </c>
      <c r="M48" s="47">
        <f t="shared" si="2"/>
        <v>1703.9602488411253</v>
      </c>
      <c r="N48" s="73">
        <v>3961</v>
      </c>
      <c r="O48" s="71">
        <f t="shared" si="3"/>
        <v>1.0111091824336053E-2</v>
      </c>
      <c r="P48" s="74">
        <f t="shared" si="4"/>
        <v>243.66023256196846</v>
      </c>
      <c r="Q48" s="90">
        <f t="shared" si="5"/>
        <v>85381.528163991738</v>
      </c>
      <c r="R48" s="92">
        <f t="shared" si="6"/>
        <v>85381.53</v>
      </c>
    </row>
    <row r="49" spans="1:18" x14ac:dyDescent="0.25">
      <c r="A49" s="6" t="s">
        <v>30</v>
      </c>
      <c r="B49" s="6" t="s">
        <v>113</v>
      </c>
      <c r="C49" s="6">
        <v>185</v>
      </c>
      <c r="D49" s="6">
        <v>182</v>
      </c>
      <c r="E49" s="7">
        <v>0.98378378378378384</v>
      </c>
      <c r="F49" s="20" t="s">
        <v>188</v>
      </c>
      <c r="G49" s="14" t="s">
        <v>169</v>
      </c>
      <c r="H49" s="44">
        <f>IF(G49="Rural Arizona",$E$5,$E$4)</f>
        <v>100000</v>
      </c>
      <c r="I49" s="48">
        <f t="shared" si="0"/>
        <v>553556.08081704238</v>
      </c>
      <c r="J49" s="77">
        <v>7.634920194228384E-2</v>
      </c>
      <c r="K49" s="47">
        <f t="shared" si="1"/>
        <v>16208.526501721266</v>
      </c>
      <c r="L49" s="71">
        <v>6.9736347974498389E-2</v>
      </c>
      <c r="M49" s="47">
        <f t="shared" si="2"/>
        <v>14804.65303530456</v>
      </c>
      <c r="N49" s="73">
        <v>3859</v>
      </c>
      <c r="O49" s="71">
        <f t="shared" si="3"/>
        <v>9.8507203610484293E-3</v>
      </c>
      <c r="P49" s="74">
        <f t="shared" si="4"/>
        <v>2091.2551535744665</v>
      </c>
      <c r="Q49" s="90">
        <f t="shared" si="5"/>
        <v>686660.51550764265</v>
      </c>
      <c r="R49" s="92">
        <f t="shared" si="6"/>
        <v>686660.52</v>
      </c>
    </row>
    <row r="50" spans="1:18" x14ac:dyDescent="0.25">
      <c r="A50" s="6" t="s">
        <v>31</v>
      </c>
      <c r="B50" s="6" t="s">
        <v>114</v>
      </c>
      <c r="C50" s="6">
        <v>15</v>
      </c>
      <c r="D50" s="6">
        <v>14</v>
      </c>
      <c r="E50" s="7">
        <v>0.93333333333333335</v>
      </c>
      <c r="F50" s="19" t="s">
        <v>187</v>
      </c>
      <c r="G50" s="14" t="s">
        <v>205</v>
      </c>
      <c r="H50" s="44">
        <f>IF(G50="Small School",$E$3,$E$4)</f>
        <v>25000</v>
      </c>
      <c r="I50" s="48">
        <f t="shared" ref="I50:I81" si="9">(C50*$F$11)+(D50*$F$10)</f>
        <v>43105.312903461083</v>
      </c>
      <c r="J50" s="77">
        <v>6.8333827037308434E-2</v>
      </c>
      <c r="K50" s="47">
        <f t="shared" ref="K50:K81" si="10">(J50*C50)*$F$15</f>
        <v>1176.2355693155705</v>
      </c>
      <c r="L50" s="71">
        <v>7.4546701797602158E-2</v>
      </c>
      <c r="M50" s="47">
        <f t="shared" ref="M50:M81" si="11">(L50*C50)*$F$15</f>
        <v>1283.1782739407711</v>
      </c>
      <c r="N50" s="73">
        <v>5886</v>
      </c>
      <c r="O50" s="71">
        <f t="shared" ref="O50:O81" si="12">N50/$N$17</f>
        <v>1.5024965028538754E-2</v>
      </c>
      <c r="P50" s="74">
        <f t="shared" ref="P50:P81" si="13">(O50*C50)*$F$15</f>
        <v>258.62591136072172</v>
      </c>
      <c r="Q50" s="90">
        <f t="shared" ref="Q50:Q81" si="14">H50+I50+K50+M50+P50</f>
        <v>70823.352658078133</v>
      </c>
      <c r="R50" s="92">
        <f t="shared" ref="R50:R81" si="15">ROUND(Q50,2)</f>
        <v>70823.350000000006</v>
      </c>
    </row>
    <row r="51" spans="1:18" x14ac:dyDescent="0.25">
      <c r="A51" s="6" t="s">
        <v>32</v>
      </c>
      <c r="B51" s="6" t="s">
        <v>115</v>
      </c>
      <c r="C51" s="6">
        <v>1285</v>
      </c>
      <c r="D51" s="6">
        <v>300</v>
      </c>
      <c r="E51" s="7">
        <v>0.23346303501945526</v>
      </c>
      <c r="F51" s="19" t="s">
        <v>187</v>
      </c>
      <c r="G51" s="14" t="s">
        <v>169</v>
      </c>
      <c r="H51" s="44">
        <f t="shared" ref="H51:H60" si="16">IF(G51="Rural Arizona",$E$5,$E$4)</f>
        <v>100000</v>
      </c>
      <c r="I51" s="48">
        <f t="shared" si="9"/>
        <v>1580165.2312032338</v>
      </c>
      <c r="J51" s="77">
        <v>7.8851001937871479E-2</v>
      </c>
      <c r="K51" s="47">
        <f t="shared" si="10"/>
        <v>116272.67096645253</v>
      </c>
      <c r="L51" s="71">
        <v>7.2204094292279697E-2</v>
      </c>
      <c r="M51" s="47">
        <f t="shared" si="11"/>
        <v>106471.22663947694</v>
      </c>
      <c r="N51" s="73">
        <v>3145</v>
      </c>
      <c r="O51" s="71">
        <f t="shared" si="12"/>
        <v>8.0281201180350641E-3</v>
      </c>
      <c r="P51" s="74">
        <f t="shared" si="13"/>
        <v>11838.162433229909</v>
      </c>
      <c r="Q51" s="90">
        <f t="shared" si="14"/>
        <v>1914747.291242393</v>
      </c>
      <c r="R51" s="92">
        <f t="shared" si="15"/>
        <v>1914747.29</v>
      </c>
    </row>
    <row r="52" spans="1:18" x14ac:dyDescent="0.25">
      <c r="A52" s="6" t="s">
        <v>33</v>
      </c>
      <c r="B52" s="6" t="s">
        <v>116</v>
      </c>
      <c r="C52" s="6">
        <v>830</v>
      </c>
      <c r="D52" s="6">
        <v>130</v>
      </c>
      <c r="E52" s="7">
        <v>0.15662650602409639</v>
      </c>
      <c r="F52" s="20" t="s">
        <v>188</v>
      </c>
      <c r="G52" s="14" t="s">
        <v>169</v>
      </c>
      <c r="H52" s="44">
        <f t="shared" si="16"/>
        <v>100000</v>
      </c>
      <c r="I52" s="48">
        <f t="shared" si="9"/>
        <v>870846.35976995062</v>
      </c>
      <c r="J52" s="77">
        <v>7.8142671037750702E-2</v>
      </c>
      <c r="K52" s="47">
        <f t="shared" si="10"/>
        <v>74427.537387174918</v>
      </c>
      <c r="L52" s="71">
        <v>7.3268944147789727E-2</v>
      </c>
      <c r="M52" s="47">
        <f t="shared" si="11"/>
        <v>69785.521885270588</v>
      </c>
      <c r="N52" s="73">
        <v>3961</v>
      </c>
      <c r="O52" s="71">
        <f t="shared" si="12"/>
        <v>1.0111091824336053E-2</v>
      </c>
      <c r="P52" s="74">
        <f t="shared" si="13"/>
        <v>9630.3806203063723</v>
      </c>
      <c r="Q52" s="90">
        <f t="shared" si="14"/>
        <v>1124689.7996627025</v>
      </c>
      <c r="R52" s="92">
        <f t="shared" si="15"/>
        <v>1124689.8</v>
      </c>
    </row>
    <row r="53" spans="1:18" x14ac:dyDescent="0.25">
      <c r="A53" s="6" t="s">
        <v>34</v>
      </c>
      <c r="B53" s="6" t="s">
        <v>117</v>
      </c>
      <c r="C53" s="6">
        <v>393</v>
      </c>
      <c r="D53" s="6">
        <v>108</v>
      </c>
      <c r="E53" s="7">
        <v>0.27480916030534353</v>
      </c>
      <c r="F53" s="20" t="s">
        <v>188</v>
      </c>
      <c r="G53" s="14" t="s">
        <v>169</v>
      </c>
      <c r="H53" s="44">
        <f t="shared" si="16"/>
        <v>100000</v>
      </c>
      <c r="I53" s="48">
        <f t="shared" si="9"/>
        <v>521441.09421461978</v>
      </c>
      <c r="J53" s="77">
        <v>7.7703032003662631E-2</v>
      </c>
      <c r="K53" s="47">
        <f t="shared" si="10"/>
        <v>35042.721007790373</v>
      </c>
      <c r="L53" s="71">
        <v>7.0738875515056643E-2</v>
      </c>
      <c r="M53" s="47">
        <f t="shared" si="11"/>
        <v>31902.007105232366</v>
      </c>
      <c r="N53" s="73">
        <v>5905</v>
      </c>
      <c r="O53" s="71">
        <f t="shared" si="12"/>
        <v>1.5073465595229586E-2</v>
      </c>
      <c r="P53" s="74">
        <f t="shared" si="13"/>
        <v>6797.8717928183169</v>
      </c>
      <c r="Q53" s="90">
        <f t="shared" si="14"/>
        <v>695183.69412046089</v>
      </c>
      <c r="R53" s="92">
        <f t="shared" si="15"/>
        <v>695183.69</v>
      </c>
    </row>
    <row r="54" spans="1:18" x14ac:dyDescent="0.25">
      <c r="A54" s="6" t="s">
        <v>35</v>
      </c>
      <c r="B54" s="6" t="s">
        <v>118</v>
      </c>
      <c r="C54" s="6">
        <v>338</v>
      </c>
      <c r="D54" s="6">
        <v>68</v>
      </c>
      <c r="E54" s="7">
        <v>0.20118343195266272</v>
      </c>
      <c r="F54" s="20" t="s">
        <v>188</v>
      </c>
      <c r="G54" s="14" t="s">
        <v>169</v>
      </c>
      <c r="H54" s="44">
        <f t="shared" si="16"/>
        <v>100000</v>
      </c>
      <c r="I54" s="48">
        <f t="shared" si="9"/>
        <v>390010.14464936103</v>
      </c>
      <c r="J54" s="77">
        <v>7.5979932600114208E-2</v>
      </c>
      <c r="K54" s="47">
        <f t="shared" si="10"/>
        <v>29470.188207689247</v>
      </c>
      <c r="L54" s="71">
        <v>6.9902963841180374E-2</v>
      </c>
      <c r="M54" s="47">
        <f t="shared" si="11"/>
        <v>27113.126192372871</v>
      </c>
      <c r="N54" s="73">
        <v>5421</v>
      </c>
      <c r="O54" s="71">
        <f t="shared" si="12"/>
        <v>1.3837977475315764E-2</v>
      </c>
      <c r="P54" s="74">
        <f t="shared" si="13"/>
        <v>5367.3093230765398</v>
      </c>
      <c r="Q54" s="90">
        <f t="shared" si="14"/>
        <v>551960.76837249962</v>
      </c>
      <c r="R54" s="92">
        <f t="shared" si="15"/>
        <v>551960.77</v>
      </c>
    </row>
    <row r="55" spans="1:18" x14ac:dyDescent="0.25">
      <c r="A55" s="6" t="s">
        <v>36</v>
      </c>
      <c r="B55" s="6" t="s">
        <v>119</v>
      </c>
      <c r="C55" s="6">
        <v>336</v>
      </c>
      <c r="D55" s="6">
        <v>310</v>
      </c>
      <c r="E55" s="7">
        <v>0.92261904761904767</v>
      </c>
      <c r="F55" s="20" t="s">
        <v>188</v>
      </c>
      <c r="G55" s="14" t="s">
        <v>169</v>
      </c>
      <c r="H55" s="44">
        <f t="shared" si="16"/>
        <v>100000</v>
      </c>
      <c r="I55" s="48">
        <f t="shared" si="9"/>
        <v>957102.65210599115</v>
      </c>
      <c r="J55" s="77">
        <v>7.7627065743410217E-2</v>
      </c>
      <c r="K55" s="47">
        <f t="shared" si="10"/>
        <v>29930.898416517273</v>
      </c>
      <c r="L55" s="71">
        <v>7.0680923084843486E-2</v>
      </c>
      <c r="M55" s="47">
        <f t="shared" si="11"/>
        <v>27252.653550385039</v>
      </c>
      <c r="N55" s="73">
        <v>8239</v>
      </c>
      <c r="O55" s="71">
        <f t="shared" si="12"/>
        <v>2.1031377313987562E-2</v>
      </c>
      <c r="P55" s="74">
        <f t="shared" si="13"/>
        <v>8109.1306481315132</v>
      </c>
      <c r="Q55" s="90">
        <f t="shared" si="14"/>
        <v>1122395.3347210251</v>
      </c>
      <c r="R55" s="92">
        <f t="shared" si="15"/>
        <v>1122395.33</v>
      </c>
    </row>
    <row r="56" spans="1:18" x14ac:dyDescent="0.25">
      <c r="A56" s="6" t="s">
        <v>37</v>
      </c>
      <c r="B56" s="6" t="s">
        <v>120</v>
      </c>
      <c r="C56" s="6">
        <v>82</v>
      </c>
      <c r="D56" s="6">
        <v>44</v>
      </c>
      <c r="E56" s="7">
        <v>0.53658536585365857</v>
      </c>
      <c r="F56" s="19" t="s">
        <v>187</v>
      </c>
      <c r="G56" s="14" t="s">
        <v>169</v>
      </c>
      <c r="H56" s="44">
        <f t="shared" si="16"/>
        <v>100000</v>
      </c>
      <c r="I56" s="48">
        <f t="shared" si="9"/>
        <v>159221.96641688101</v>
      </c>
      <c r="J56" s="77">
        <v>7.6656024143767279E-2</v>
      </c>
      <c r="K56" s="47">
        <f t="shared" si="10"/>
        <v>7213.1912611701664</v>
      </c>
      <c r="L56" s="71">
        <v>6.9915112285413819E-2</v>
      </c>
      <c r="M56" s="47">
        <f t="shared" si="11"/>
        <v>6578.883820207654</v>
      </c>
      <c r="N56" s="73">
        <v>6100</v>
      </c>
      <c r="O56" s="71">
        <f t="shared" si="12"/>
        <v>1.5571234569161808E-2</v>
      </c>
      <c r="P56" s="74">
        <f t="shared" si="13"/>
        <v>1465.2246105179861</v>
      </c>
      <c r="Q56" s="90">
        <f t="shared" si="14"/>
        <v>274479.26610877679</v>
      </c>
      <c r="R56" s="92">
        <f t="shared" si="15"/>
        <v>274479.27</v>
      </c>
    </row>
    <row r="57" spans="1:18" x14ac:dyDescent="0.25">
      <c r="A57" s="6" t="s">
        <v>38</v>
      </c>
      <c r="B57" s="6" t="s">
        <v>121</v>
      </c>
      <c r="C57" s="6">
        <v>60</v>
      </c>
      <c r="D57" s="6">
        <v>30</v>
      </c>
      <c r="E57" s="7">
        <v>0.5</v>
      </c>
      <c r="F57" s="20" t="s">
        <v>188</v>
      </c>
      <c r="G57" s="15" t="s">
        <v>170</v>
      </c>
      <c r="H57" s="45">
        <f t="shared" si="16"/>
        <v>125000</v>
      </c>
      <c r="I57" s="48">
        <f t="shared" si="9"/>
        <v>111347.56266385371</v>
      </c>
      <c r="J57" s="77">
        <v>6.8710395615687619E-2</v>
      </c>
      <c r="K57" s="47">
        <f t="shared" si="10"/>
        <v>4730.8698961520813</v>
      </c>
      <c r="L57" s="71">
        <v>0.10104469943483473</v>
      </c>
      <c r="M57" s="47">
        <f t="shared" si="11"/>
        <v>6957.1616119883547</v>
      </c>
      <c r="N57" s="73">
        <v>2171</v>
      </c>
      <c r="O57" s="71">
        <f t="shared" si="12"/>
        <v>5.541827909778735E-3</v>
      </c>
      <c r="P57" s="74">
        <f t="shared" si="13"/>
        <v>381.56768845676299</v>
      </c>
      <c r="Q57" s="90">
        <f t="shared" si="14"/>
        <v>248417.1618604509</v>
      </c>
      <c r="R57" s="92">
        <f t="shared" si="15"/>
        <v>248417.16</v>
      </c>
    </row>
    <row r="58" spans="1:18" x14ac:dyDescent="0.25">
      <c r="A58" s="6" t="s">
        <v>39</v>
      </c>
      <c r="B58" s="6" t="s">
        <v>122</v>
      </c>
      <c r="C58" s="6">
        <v>338</v>
      </c>
      <c r="D58" s="6">
        <v>270</v>
      </c>
      <c r="E58" s="7">
        <v>0.79881656804733725</v>
      </c>
      <c r="F58" s="20" t="s">
        <v>188</v>
      </c>
      <c r="G58" s="14" t="s">
        <v>171</v>
      </c>
      <c r="H58" s="44">
        <f t="shared" si="16"/>
        <v>100000</v>
      </c>
      <c r="I58" s="48">
        <f t="shared" si="9"/>
        <v>864505.72803005739</v>
      </c>
      <c r="J58" s="77">
        <v>6.8149339967923675E-2</v>
      </c>
      <c r="K58" s="47">
        <f t="shared" si="10"/>
        <v>26432.95152227459</v>
      </c>
      <c r="L58" s="71">
        <v>7.4184212690710197E-2</v>
      </c>
      <c r="M58" s="47">
        <f t="shared" si="11"/>
        <v>28773.685830187122</v>
      </c>
      <c r="N58" s="73">
        <v>5241</v>
      </c>
      <c r="O58" s="71">
        <f t="shared" si="12"/>
        <v>1.3378498422455252E-2</v>
      </c>
      <c r="P58" s="74">
        <f t="shared" si="13"/>
        <v>5189.0920793661944</v>
      </c>
      <c r="Q58" s="90">
        <f t="shared" si="14"/>
        <v>1024901.4574618854</v>
      </c>
      <c r="R58" s="92">
        <f t="shared" si="15"/>
        <v>1024901.46</v>
      </c>
    </row>
    <row r="59" spans="1:18" x14ac:dyDescent="0.25">
      <c r="A59" s="6" t="s">
        <v>40</v>
      </c>
      <c r="B59" s="6" t="s">
        <v>123</v>
      </c>
      <c r="C59" s="6">
        <v>107</v>
      </c>
      <c r="D59" s="6">
        <v>55</v>
      </c>
      <c r="E59" s="7">
        <v>0.51401869158878499</v>
      </c>
      <c r="F59" s="19" t="s">
        <v>187</v>
      </c>
      <c r="G59" s="14" t="s">
        <v>169</v>
      </c>
      <c r="H59" s="44">
        <f t="shared" si="16"/>
        <v>100000</v>
      </c>
      <c r="I59" s="48">
        <f t="shared" si="9"/>
        <v>202093.3021386796</v>
      </c>
      <c r="J59" s="77">
        <v>7.5245770774328299E-2</v>
      </c>
      <c r="K59" s="47">
        <f t="shared" si="10"/>
        <v>9239.1746784892002</v>
      </c>
      <c r="L59" s="71">
        <v>7.1784749636401413E-2</v>
      </c>
      <c r="M59" s="47">
        <f t="shared" si="11"/>
        <v>8814.2075536902139</v>
      </c>
      <c r="N59" s="73">
        <v>5851</v>
      </c>
      <c r="O59" s="71">
        <f t="shared" si="12"/>
        <v>1.4935621879371433E-2</v>
      </c>
      <c r="P59" s="74">
        <f t="shared" si="13"/>
        <v>1833.8946900980786</v>
      </c>
      <c r="Q59" s="90">
        <f t="shared" si="14"/>
        <v>321980.57906095713</v>
      </c>
      <c r="R59" s="92">
        <f t="shared" si="15"/>
        <v>321980.58</v>
      </c>
    </row>
    <row r="60" spans="1:18" x14ac:dyDescent="0.25">
      <c r="A60" s="6" t="s">
        <v>41</v>
      </c>
      <c r="B60" s="6" t="s">
        <v>124</v>
      </c>
      <c r="C60" s="6">
        <v>149</v>
      </c>
      <c r="D60" s="6">
        <v>119</v>
      </c>
      <c r="E60" s="7">
        <v>0.79865771812080533</v>
      </c>
      <c r="F60" s="20" t="s">
        <v>188</v>
      </c>
      <c r="G60" s="15" t="s">
        <v>170</v>
      </c>
      <c r="H60" s="45">
        <f t="shared" si="16"/>
        <v>125000</v>
      </c>
      <c r="I60" s="48">
        <f t="shared" si="9"/>
        <v>381043.08157451556</v>
      </c>
      <c r="J60" s="77">
        <v>0.24401286786607887</v>
      </c>
      <c r="K60" s="47">
        <f t="shared" si="10"/>
        <v>41722.113749328251</v>
      </c>
      <c r="L60" s="71">
        <v>0.21863457643274156</v>
      </c>
      <c r="M60" s="47">
        <f t="shared" si="11"/>
        <v>37382.850942391276</v>
      </c>
      <c r="N60" s="73">
        <v>659</v>
      </c>
      <c r="O60" s="71">
        <f t="shared" si="12"/>
        <v>1.6822038657504314E-3</v>
      </c>
      <c r="P60" s="74">
        <f t="shared" si="13"/>
        <v>287.62868798754812</v>
      </c>
      <c r="Q60" s="90">
        <f t="shared" si="14"/>
        <v>585435.67495422275</v>
      </c>
      <c r="R60" s="92">
        <f t="shared" si="15"/>
        <v>585435.67000000004</v>
      </c>
    </row>
    <row r="61" spans="1:18" x14ac:dyDescent="0.25">
      <c r="A61" s="6" t="s">
        <v>42</v>
      </c>
      <c r="B61" s="6" t="s">
        <v>125</v>
      </c>
      <c r="C61" s="6">
        <v>15</v>
      </c>
      <c r="D61" s="6">
        <v>15</v>
      </c>
      <c r="E61" s="7">
        <v>1</v>
      </c>
      <c r="F61" s="19" t="s">
        <v>187</v>
      </c>
      <c r="G61" s="14" t="s">
        <v>205</v>
      </c>
      <c r="H61" s="44">
        <f>IF(G61="Small School",$E$3,$E$4)</f>
        <v>25000</v>
      </c>
      <c r="I61" s="48">
        <f t="shared" si="9"/>
        <v>45454.300939999186</v>
      </c>
      <c r="J61" s="77">
        <v>8.2277360669798155E-2</v>
      </c>
      <c r="K61" s="47">
        <f t="shared" si="10"/>
        <v>1416.246716525691</v>
      </c>
      <c r="L61" s="71">
        <v>7.4336172405935555E-2</v>
      </c>
      <c r="M61" s="47">
        <f t="shared" si="11"/>
        <v>1279.5544148712445</v>
      </c>
      <c r="N61" s="73">
        <v>1132</v>
      </c>
      <c r="O61" s="71">
        <f t="shared" si="12"/>
        <v>2.8896127102116666E-3</v>
      </c>
      <c r="P61" s="74">
        <f t="shared" si="13"/>
        <v>49.739132120342667</v>
      </c>
      <c r="Q61" s="90">
        <f t="shared" si="14"/>
        <v>73199.84120351648</v>
      </c>
      <c r="R61" s="92">
        <f t="shared" si="15"/>
        <v>73199.839999999997</v>
      </c>
    </row>
    <row r="62" spans="1:18" x14ac:dyDescent="0.25">
      <c r="A62" s="6" t="s">
        <v>43</v>
      </c>
      <c r="B62" s="6" t="s">
        <v>126</v>
      </c>
      <c r="C62" s="6">
        <v>248</v>
      </c>
      <c r="D62" s="6">
        <v>213</v>
      </c>
      <c r="E62" s="7">
        <v>0.8588709677419355</v>
      </c>
      <c r="F62" s="20" t="s">
        <v>188</v>
      </c>
      <c r="G62" s="14" t="s">
        <v>169</v>
      </c>
      <c r="H62" s="44">
        <f t="shared" ref="H62:H92" si="17">IF(G62="Rural Arizona",$E$5,$E$4)</f>
        <v>100000</v>
      </c>
      <c r="I62" s="48">
        <f t="shared" si="9"/>
        <v>669296.52759581967</v>
      </c>
      <c r="J62" s="77">
        <v>7.8137109899117929E-2</v>
      </c>
      <c r="K62" s="47">
        <f t="shared" si="10"/>
        <v>22237.006842284642</v>
      </c>
      <c r="L62" s="71">
        <v>7.1369335011641472E-2</v>
      </c>
      <c r="M62" s="47">
        <f t="shared" si="11"/>
        <v>20310.968668180703</v>
      </c>
      <c r="N62" s="73">
        <v>6315</v>
      </c>
      <c r="O62" s="71">
        <f t="shared" si="12"/>
        <v>1.6120056771189641E-2</v>
      </c>
      <c r="P62" s="74">
        <f t="shared" si="13"/>
        <v>4587.6000940112517</v>
      </c>
      <c r="Q62" s="90">
        <f t="shared" si="14"/>
        <v>816432.10320029641</v>
      </c>
      <c r="R62" s="92">
        <f t="shared" si="15"/>
        <v>816432.1</v>
      </c>
    </row>
    <row r="63" spans="1:18" x14ac:dyDescent="0.25">
      <c r="A63" s="6" t="s">
        <v>44</v>
      </c>
      <c r="B63" s="6" t="s">
        <v>127</v>
      </c>
      <c r="C63" s="6">
        <v>134</v>
      </c>
      <c r="D63" s="6">
        <v>68</v>
      </c>
      <c r="E63" s="7">
        <v>0.5074626865671642</v>
      </c>
      <c r="F63" s="20" t="s">
        <v>188</v>
      </c>
      <c r="G63" s="15" t="s">
        <v>170</v>
      </c>
      <c r="H63" s="45">
        <f t="shared" si="17"/>
        <v>125000</v>
      </c>
      <c r="I63" s="48">
        <f t="shared" si="9"/>
        <v>251025.21131914473</v>
      </c>
      <c r="J63" s="77">
        <v>7.7866964931903412E-2</v>
      </c>
      <c r="K63" s="47">
        <f t="shared" si="10"/>
        <v>11973.616684448583</v>
      </c>
      <c r="L63" s="71">
        <v>8.3706164879268366E-2</v>
      </c>
      <c r="M63" s="47">
        <f t="shared" si="11"/>
        <v>12871.511471727679</v>
      </c>
      <c r="N63" s="73">
        <v>2190</v>
      </c>
      <c r="O63" s="71">
        <f t="shared" si="12"/>
        <v>5.5903284764695672E-3</v>
      </c>
      <c r="P63" s="74">
        <f t="shared" si="13"/>
        <v>859.62577809397885</v>
      </c>
      <c r="Q63" s="90">
        <f t="shared" si="14"/>
        <v>401729.96525341494</v>
      </c>
      <c r="R63" s="92">
        <f t="shared" si="15"/>
        <v>401729.97</v>
      </c>
    </row>
    <row r="64" spans="1:18" x14ac:dyDescent="0.25">
      <c r="A64" s="6" t="s">
        <v>45</v>
      </c>
      <c r="B64" s="6" t="s">
        <v>128</v>
      </c>
      <c r="C64" s="6">
        <v>401</v>
      </c>
      <c r="D64" s="6">
        <v>63</v>
      </c>
      <c r="E64" s="7">
        <v>0.15710723192019951</v>
      </c>
      <c r="F64" s="20" t="s">
        <v>188</v>
      </c>
      <c r="G64" s="14" t="s">
        <v>171</v>
      </c>
      <c r="H64" s="44">
        <f t="shared" si="17"/>
        <v>100000</v>
      </c>
      <c r="I64" s="48">
        <f t="shared" si="9"/>
        <v>421187.02211276663</v>
      </c>
      <c r="J64" s="77">
        <v>6.7501851875917812E-2</v>
      </c>
      <c r="K64" s="47">
        <f t="shared" si="10"/>
        <v>31061.853382647794</v>
      </c>
      <c r="L64" s="71">
        <v>7.4678033502709587E-2</v>
      </c>
      <c r="M64" s="47">
        <f t="shared" si="11"/>
        <v>34364.066512272788</v>
      </c>
      <c r="N64" s="73">
        <v>3429</v>
      </c>
      <c r="O64" s="71">
        <f t="shared" si="12"/>
        <v>8.7530759569927601E-3</v>
      </c>
      <c r="P64" s="74">
        <f t="shared" si="13"/>
        <v>4027.8415253417352</v>
      </c>
      <c r="Q64" s="90">
        <f t="shared" si="14"/>
        <v>590640.78353302903</v>
      </c>
      <c r="R64" s="92">
        <f t="shared" si="15"/>
        <v>590640.78</v>
      </c>
    </row>
    <row r="65" spans="1:18" x14ac:dyDescent="0.25">
      <c r="A65" s="6" t="s">
        <v>46</v>
      </c>
      <c r="B65" s="6" t="s">
        <v>129</v>
      </c>
      <c r="C65" s="6">
        <v>292</v>
      </c>
      <c r="D65" s="6">
        <v>40</v>
      </c>
      <c r="E65" s="7">
        <v>0.13698630136986301</v>
      </c>
      <c r="F65" s="20" t="s">
        <v>188</v>
      </c>
      <c r="G65" s="14" t="s">
        <v>169</v>
      </c>
      <c r="H65" s="44">
        <f t="shared" si="17"/>
        <v>100000</v>
      </c>
      <c r="I65" s="48">
        <f t="shared" si="9"/>
        <v>292898.73975771596</v>
      </c>
      <c r="J65" s="77">
        <v>7.9919902268195064E-2</v>
      </c>
      <c r="K65" s="47">
        <f t="shared" si="10"/>
        <v>26779.662586226237</v>
      </c>
      <c r="L65" s="71">
        <v>7.3473374782779155E-2</v>
      </c>
      <c r="M65" s="47">
        <f t="shared" si="11"/>
        <v>24619.551950293015</v>
      </c>
      <c r="N65" s="73">
        <v>3264</v>
      </c>
      <c r="O65" s="71">
        <f t="shared" si="12"/>
        <v>8.3318868252039574E-3</v>
      </c>
      <c r="P65" s="74">
        <f t="shared" si="13"/>
        <v>2791.8592434813399</v>
      </c>
      <c r="Q65" s="90">
        <f t="shared" si="14"/>
        <v>447089.81353771657</v>
      </c>
      <c r="R65" s="92">
        <f t="shared" si="15"/>
        <v>447089.81</v>
      </c>
    </row>
    <row r="66" spans="1:18" x14ac:dyDescent="0.25">
      <c r="A66" s="6" t="s">
        <v>47</v>
      </c>
      <c r="B66" s="6" t="s">
        <v>130</v>
      </c>
      <c r="C66" s="6">
        <v>486</v>
      </c>
      <c r="D66" s="6">
        <v>352</v>
      </c>
      <c r="E66" s="7">
        <v>0.72427983539094654</v>
      </c>
      <c r="F66" s="20" t="s">
        <v>188</v>
      </c>
      <c r="G66" s="14" t="s">
        <v>169</v>
      </c>
      <c r="H66" s="44">
        <f t="shared" si="17"/>
        <v>100000</v>
      </c>
      <c r="I66" s="48">
        <f t="shared" si="9"/>
        <v>1157954.953559868</v>
      </c>
      <c r="J66" s="77">
        <v>7.4594183157840235E-2</v>
      </c>
      <c r="K66" s="47">
        <f t="shared" si="10"/>
        <v>41601.456608935143</v>
      </c>
      <c r="L66" s="71">
        <v>6.8800847347945046E-2</v>
      </c>
      <c r="M66" s="47">
        <f t="shared" si="11"/>
        <v>38370.491430237918</v>
      </c>
      <c r="N66" s="73">
        <v>968</v>
      </c>
      <c r="O66" s="71">
        <f t="shared" si="12"/>
        <v>2.4709762398276445E-3</v>
      </c>
      <c r="P66" s="74">
        <f t="shared" si="13"/>
        <v>1378.0727460395156</v>
      </c>
      <c r="Q66" s="90">
        <f t="shared" si="14"/>
        <v>1339304.9743450808</v>
      </c>
      <c r="R66" s="92">
        <f t="shared" si="15"/>
        <v>1339304.97</v>
      </c>
    </row>
    <row r="67" spans="1:18" x14ac:dyDescent="0.25">
      <c r="A67" s="6" t="s">
        <v>48</v>
      </c>
      <c r="B67" s="6" t="s">
        <v>131</v>
      </c>
      <c r="C67" s="6">
        <v>165</v>
      </c>
      <c r="D67" s="6">
        <v>120</v>
      </c>
      <c r="E67" s="7">
        <v>0.72727272727272729</v>
      </c>
      <c r="F67" s="20" t="s">
        <v>188</v>
      </c>
      <c r="G67" s="14" t="s">
        <v>169</v>
      </c>
      <c r="H67" s="44">
        <f t="shared" si="17"/>
        <v>100000</v>
      </c>
      <c r="I67" s="48">
        <f t="shared" si="9"/>
        <v>394292.84869577648</v>
      </c>
      <c r="J67" s="77">
        <v>7.5379134407974335E-2</v>
      </c>
      <c r="K67" s="47">
        <f t="shared" si="10"/>
        <v>14272.577025302229</v>
      </c>
      <c r="L67" s="71">
        <v>6.9155090312398582E-2</v>
      </c>
      <c r="M67" s="47">
        <f t="shared" si="11"/>
        <v>13094.092429257506</v>
      </c>
      <c r="N67" s="73">
        <v>8585</v>
      </c>
      <c r="O67" s="71">
        <f t="shared" si="12"/>
        <v>2.1914598160041661E-2</v>
      </c>
      <c r="P67" s="74">
        <f t="shared" si="13"/>
        <v>4149.3948248980214</v>
      </c>
      <c r="Q67" s="90">
        <f t="shared" si="14"/>
        <v>525808.91297523421</v>
      </c>
      <c r="R67" s="92">
        <f t="shared" si="15"/>
        <v>525808.91</v>
      </c>
    </row>
    <row r="68" spans="1:18" x14ac:dyDescent="0.25">
      <c r="A68" s="6" t="s">
        <v>49</v>
      </c>
      <c r="B68" s="6" t="s">
        <v>132</v>
      </c>
      <c r="C68" s="6">
        <v>370</v>
      </c>
      <c r="D68" s="6">
        <v>32</v>
      </c>
      <c r="E68" s="7">
        <v>8.6486486486486491E-2</v>
      </c>
      <c r="F68" s="19" t="s">
        <v>187</v>
      </c>
      <c r="G68" s="14" t="s">
        <v>169</v>
      </c>
      <c r="H68" s="44">
        <f t="shared" si="17"/>
        <v>100000</v>
      </c>
      <c r="I68" s="48">
        <f t="shared" si="9"/>
        <v>327248.133503435</v>
      </c>
      <c r="J68" s="77">
        <v>7.5580715764069856E-2</v>
      </c>
      <c r="K68" s="47">
        <f t="shared" si="10"/>
        <v>32090.76200710169</v>
      </c>
      <c r="L68" s="71">
        <v>7.0091152094440376E-2</v>
      </c>
      <c r="M68" s="47">
        <f t="shared" si="11"/>
        <v>29759.952097933594</v>
      </c>
      <c r="N68" s="73">
        <v>4066</v>
      </c>
      <c r="O68" s="71">
        <f t="shared" si="12"/>
        <v>1.0379121271838019E-2</v>
      </c>
      <c r="P68" s="74">
        <f t="shared" si="13"/>
        <v>4406.8636716422807</v>
      </c>
      <c r="Q68" s="90">
        <f t="shared" si="14"/>
        <v>493505.7112801125</v>
      </c>
      <c r="R68" s="92">
        <f t="shared" si="15"/>
        <v>493505.71</v>
      </c>
    </row>
    <row r="69" spans="1:18" x14ac:dyDescent="0.25">
      <c r="A69" s="6" t="s">
        <v>209</v>
      </c>
      <c r="B69" s="6" t="s">
        <v>133</v>
      </c>
      <c r="C69" s="6">
        <v>486</v>
      </c>
      <c r="D69" s="6">
        <v>52</v>
      </c>
      <c r="E69" s="7">
        <v>0.10699588477366255</v>
      </c>
      <c r="F69" s="20" t="s">
        <v>188</v>
      </c>
      <c r="G69" s="14" t="s">
        <v>169</v>
      </c>
      <c r="H69" s="44">
        <f t="shared" si="17"/>
        <v>100000</v>
      </c>
      <c r="I69" s="48">
        <f t="shared" si="9"/>
        <v>453258.54259843769</v>
      </c>
      <c r="J69" s="77">
        <v>7.4658515947434764E-2</v>
      </c>
      <c r="K69" s="47">
        <f t="shared" si="10"/>
        <v>41637.335247745163</v>
      </c>
      <c r="L69" s="71">
        <v>6.8767894455093334E-2</v>
      </c>
      <c r="M69" s="47">
        <f t="shared" si="11"/>
        <v>38352.11347790873</v>
      </c>
      <c r="N69" s="73">
        <v>4830</v>
      </c>
      <c r="O69" s="71">
        <f t="shared" si="12"/>
        <v>1.2329354585090416E-2</v>
      </c>
      <c r="P69" s="74">
        <f t="shared" si="13"/>
        <v>6876.127441498822</v>
      </c>
      <c r="Q69" s="90">
        <f t="shared" si="14"/>
        <v>640124.11876559048</v>
      </c>
      <c r="R69" s="92">
        <f t="shared" si="15"/>
        <v>640124.12</v>
      </c>
    </row>
    <row r="70" spans="1:18" x14ac:dyDescent="0.25">
      <c r="A70" s="6" t="s">
        <v>50</v>
      </c>
      <c r="B70" s="6" t="s">
        <v>134</v>
      </c>
      <c r="C70" s="6">
        <v>392</v>
      </c>
      <c r="D70" s="6">
        <v>162</v>
      </c>
      <c r="E70" s="7">
        <v>0.41326530612244899</v>
      </c>
      <c r="F70" s="20" t="s">
        <v>188</v>
      </c>
      <c r="G70" s="14" t="s">
        <v>171</v>
      </c>
      <c r="H70" s="44">
        <f t="shared" si="17"/>
        <v>100000</v>
      </c>
      <c r="I70" s="48">
        <f t="shared" si="9"/>
        <v>647605.14949488209</v>
      </c>
      <c r="J70" s="77">
        <v>6.7493496123431987E-2</v>
      </c>
      <c r="K70" s="47">
        <f t="shared" si="10"/>
        <v>30360.945842575424</v>
      </c>
      <c r="L70" s="71">
        <v>7.4844808489812745E-2</v>
      </c>
      <c r="M70" s="47">
        <f t="shared" si="11"/>
        <v>33667.824422688784</v>
      </c>
      <c r="N70" s="73">
        <v>5886</v>
      </c>
      <c r="O70" s="71">
        <f t="shared" si="12"/>
        <v>1.5024965028538754E-2</v>
      </c>
      <c r="P70" s="74">
        <f t="shared" si="13"/>
        <v>6758.7571502268602</v>
      </c>
      <c r="Q70" s="90">
        <f t="shared" si="14"/>
        <v>818392.67691037315</v>
      </c>
      <c r="R70" s="92">
        <f t="shared" si="15"/>
        <v>818392.68</v>
      </c>
    </row>
    <row r="71" spans="1:18" x14ac:dyDescent="0.25">
      <c r="A71" s="6" t="s">
        <v>51</v>
      </c>
      <c r="B71" s="6" t="s">
        <v>135</v>
      </c>
      <c r="C71" s="6">
        <v>1211</v>
      </c>
      <c r="D71" s="6">
        <v>599</v>
      </c>
      <c r="E71" s="7">
        <v>0.49463253509496286</v>
      </c>
      <c r="F71" s="20" t="s">
        <v>188</v>
      </c>
      <c r="G71" s="14" t="s">
        <v>171</v>
      </c>
      <c r="H71" s="44">
        <f t="shared" si="17"/>
        <v>100000</v>
      </c>
      <c r="I71" s="48">
        <f t="shared" si="9"/>
        <v>2232096.5508612832</v>
      </c>
      <c r="J71" s="77">
        <v>6.772970325002009E-2</v>
      </c>
      <c r="K71" s="47">
        <f t="shared" si="10"/>
        <v>94121.886044561601</v>
      </c>
      <c r="L71" s="71">
        <v>7.4727912226907861E-2</v>
      </c>
      <c r="M71" s="47">
        <f t="shared" si="11"/>
        <v>103847.08187787517</v>
      </c>
      <c r="N71" s="73">
        <v>5886</v>
      </c>
      <c r="O71" s="71">
        <f t="shared" si="12"/>
        <v>1.5024965028538754E-2</v>
      </c>
      <c r="P71" s="74">
        <f t="shared" si="13"/>
        <v>20879.731910522263</v>
      </c>
      <c r="Q71" s="90">
        <f t="shared" si="14"/>
        <v>2550945.2506942418</v>
      </c>
      <c r="R71" s="92">
        <f t="shared" si="15"/>
        <v>2550945.25</v>
      </c>
    </row>
    <row r="72" spans="1:18" x14ac:dyDescent="0.25">
      <c r="A72" s="6" t="s">
        <v>52</v>
      </c>
      <c r="B72" s="6" t="s">
        <v>136</v>
      </c>
      <c r="C72" s="6">
        <v>165</v>
      </c>
      <c r="D72" s="6">
        <v>93</v>
      </c>
      <c r="E72" s="7">
        <v>0.5636363636363636</v>
      </c>
      <c r="F72" s="20" t="s">
        <v>188</v>
      </c>
      <c r="G72" s="15" t="s">
        <v>170</v>
      </c>
      <c r="H72" s="45">
        <f t="shared" si="17"/>
        <v>125000</v>
      </c>
      <c r="I72" s="48">
        <f t="shared" si="9"/>
        <v>330870.17170924775</v>
      </c>
      <c r="J72" s="77">
        <v>8.930456197959423E-2</v>
      </c>
      <c r="K72" s="47">
        <f t="shared" si="10"/>
        <v>16909.271372978186</v>
      </c>
      <c r="L72" s="71">
        <v>4.6030256831241935E-2</v>
      </c>
      <c r="M72" s="47">
        <f t="shared" si="11"/>
        <v>8715.546965060983</v>
      </c>
      <c r="N72" s="73">
        <v>4352</v>
      </c>
      <c r="O72" s="71">
        <f t="shared" si="12"/>
        <v>1.1109182433605277E-2</v>
      </c>
      <c r="P72" s="74">
        <f t="shared" si="13"/>
        <v>2103.4555944037497</v>
      </c>
      <c r="Q72" s="90">
        <f t="shared" si="14"/>
        <v>483598.44564169063</v>
      </c>
      <c r="R72" s="92">
        <f t="shared" si="15"/>
        <v>483598.45</v>
      </c>
    </row>
    <row r="73" spans="1:18" x14ac:dyDescent="0.25">
      <c r="A73" s="6" t="s">
        <v>53</v>
      </c>
      <c r="B73" s="6" t="s">
        <v>137</v>
      </c>
      <c r="C73" s="6">
        <v>344</v>
      </c>
      <c r="D73" s="6">
        <v>330</v>
      </c>
      <c r="E73" s="7">
        <v>0.95930232558139539</v>
      </c>
      <c r="F73" s="20" t="s">
        <v>188</v>
      </c>
      <c r="G73" s="14" t="s">
        <v>171</v>
      </c>
      <c r="H73" s="44">
        <f t="shared" si="17"/>
        <v>100000</v>
      </c>
      <c r="I73" s="48">
        <f t="shared" si="9"/>
        <v>1009532.8023791146</v>
      </c>
      <c r="J73" s="77">
        <v>6.8785705387175419E-2</v>
      </c>
      <c r="K73" s="47">
        <f t="shared" si="10"/>
        <v>27153.382850617738</v>
      </c>
      <c r="L73" s="71">
        <v>7.5657919826707318E-2</v>
      </c>
      <c r="M73" s="47">
        <f t="shared" si="11"/>
        <v>29866.212044675023</v>
      </c>
      <c r="N73" s="73">
        <v>8229</v>
      </c>
      <c r="O73" s="71">
        <f t="shared" si="12"/>
        <v>2.1005850699939758E-2</v>
      </c>
      <c r="P73" s="74">
        <f t="shared" si="13"/>
        <v>8292.1284727382299</v>
      </c>
      <c r="Q73" s="90">
        <f t="shared" si="14"/>
        <v>1174844.5257471455</v>
      </c>
      <c r="R73" s="92">
        <f t="shared" si="15"/>
        <v>1174844.53</v>
      </c>
    </row>
    <row r="74" spans="1:18" x14ac:dyDescent="0.25">
      <c r="A74" s="6" t="s">
        <v>54</v>
      </c>
      <c r="B74" s="6" t="s">
        <v>138</v>
      </c>
      <c r="C74" s="6">
        <v>584</v>
      </c>
      <c r="D74" s="6">
        <v>136</v>
      </c>
      <c r="E74" s="7">
        <v>0.23287671232876711</v>
      </c>
      <c r="F74" s="19" t="s">
        <v>187</v>
      </c>
      <c r="G74" s="14" t="s">
        <v>169</v>
      </c>
      <c r="H74" s="44">
        <f t="shared" si="17"/>
        <v>100000</v>
      </c>
      <c r="I74" s="48">
        <f t="shared" si="9"/>
        <v>717340.80956156563</v>
      </c>
      <c r="J74" s="77">
        <v>7.9781600550153611E-2</v>
      </c>
      <c r="K74" s="47">
        <f t="shared" si="10"/>
        <v>53466.640540986918</v>
      </c>
      <c r="L74" s="71">
        <v>7.3098862297942768E-2</v>
      </c>
      <c r="M74" s="47">
        <f t="shared" si="11"/>
        <v>48988.119660275246</v>
      </c>
      <c r="N74" s="73">
        <v>5342</v>
      </c>
      <c r="O74" s="71">
        <f t="shared" si="12"/>
        <v>1.3636317224338095E-2</v>
      </c>
      <c r="P74" s="74">
        <f t="shared" si="13"/>
        <v>9138.5490678169863</v>
      </c>
      <c r="Q74" s="90">
        <f t="shared" si="14"/>
        <v>928934.11883064476</v>
      </c>
      <c r="R74" s="92">
        <f t="shared" si="15"/>
        <v>928934.12</v>
      </c>
    </row>
    <row r="75" spans="1:18" x14ac:dyDescent="0.25">
      <c r="A75" s="6" t="s">
        <v>55</v>
      </c>
      <c r="B75" s="6" t="s">
        <v>139</v>
      </c>
      <c r="C75" s="6">
        <v>443</v>
      </c>
      <c r="D75" s="6">
        <v>289</v>
      </c>
      <c r="E75" s="7">
        <v>0.65237020316027083</v>
      </c>
      <c r="F75" s="20" t="s">
        <v>188</v>
      </c>
      <c r="G75" s="14" t="s">
        <v>169</v>
      </c>
      <c r="H75" s="44">
        <f t="shared" si="17"/>
        <v>100000</v>
      </c>
      <c r="I75" s="48">
        <f t="shared" si="9"/>
        <v>980672.86346777505</v>
      </c>
      <c r="J75" s="77">
        <v>7.6585723187641966E-2</v>
      </c>
      <c r="K75" s="47">
        <f t="shared" si="10"/>
        <v>38933.08779362811</v>
      </c>
      <c r="L75" s="71">
        <v>6.9289204833989607E-2</v>
      </c>
      <c r="M75" s="47">
        <f t="shared" si="11"/>
        <v>35223.832624037888</v>
      </c>
      <c r="N75" s="73">
        <v>5777</v>
      </c>
      <c r="O75" s="71">
        <f t="shared" si="12"/>
        <v>1.4746724935417666E-2</v>
      </c>
      <c r="P75" s="74">
        <f t="shared" si="13"/>
        <v>7496.6392257264006</v>
      </c>
      <c r="Q75" s="90">
        <f t="shared" si="14"/>
        <v>1162326.4231111677</v>
      </c>
      <c r="R75" s="92">
        <f t="shared" si="15"/>
        <v>1162326.42</v>
      </c>
    </row>
    <row r="76" spans="1:18" x14ac:dyDescent="0.25">
      <c r="A76" s="6" t="s">
        <v>56</v>
      </c>
      <c r="B76" s="6" t="s">
        <v>140</v>
      </c>
      <c r="C76" s="6">
        <v>232</v>
      </c>
      <c r="D76" s="6">
        <v>220</v>
      </c>
      <c r="E76" s="7">
        <v>0.94827586206896552</v>
      </c>
      <c r="F76" s="20" t="s">
        <v>188</v>
      </c>
      <c r="G76" s="14" t="s">
        <v>169</v>
      </c>
      <c r="H76" s="44">
        <f t="shared" si="17"/>
        <v>100000</v>
      </c>
      <c r="I76" s="48">
        <f t="shared" si="9"/>
        <v>674838.66476686357</v>
      </c>
      <c r="J76" s="77">
        <v>7.482691413119133E-2</v>
      </c>
      <c r="K76" s="47">
        <f t="shared" si="10"/>
        <v>19921.091274146249</v>
      </c>
      <c r="L76" s="71">
        <v>6.9024356833980116E-2</v>
      </c>
      <c r="M76" s="47">
        <f t="shared" si="11"/>
        <v>18376.282499344408</v>
      </c>
      <c r="N76" s="73">
        <v>3268</v>
      </c>
      <c r="O76" s="71">
        <f t="shared" si="12"/>
        <v>8.3420974708230799E-3</v>
      </c>
      <c r="P76" s="74">
        <f t="shared" si="13"/>
        <v>2220.9079054459908</v>
      </c>
      <c r="Q76" s="90">
        <f t="shared" si="14"/>
        <v>815356.94644580025</v>
      </c>
      <c r="R76" s="92">
        <f t="shared" si="15"/>
        <v>815356.95</v>
      </c>
    </row>
    <row r="77" spans="1:18" x14ac:dyDescent="0.25">
      <c r="A77" s="6" t="s">
        <v>57</v>
      </c>
      <c r="B77" s="6" t="s">
        <v>141</v>
      </c>
      <c r="C77" s="6">
        <v>403</v>
      </c>
      <c r="D77" s="6">
        <v>347</v>
      </c>
      <c r="E77" s="7">
        <v>0.86104218362282881</v>
      </c>
      <c r="F77" s="20" t="s">
        <v>188</v>
      </c>
      <c r="G77" s="14" t="s">
        <v>169</v>
      </c>
      <c r="H77" s="44">
        <f t="shared" si="17"/>
        <v>100000</v>
      </c>
      <c r="I77" s="48">
        <f t="shared" si="9"/>
        <v>1089662.2218751779</v>
      </c>
      <c r="J77" s="77">
        <v>8.7639282169193755E-2</v>
      </c>
      <c r="K77" s="47">
        <f t="shared" si="10"/>
        <v>40529.492255584737</v>
      </c>
      <c r="L77" s="71">
        <v>7.8693820662747063E-2</v>
      </c>
      <c r="M77" s="47">
        <f t="shared" si="11"/>
        <v>36392.591497449539</v>
      </c>
      <c r="N77" s="73">
        <v>7355</v>
      </c>
      <c r="O77" s="71">
        <f t="shared" si="12"/>
        <v>1.8774824632161492E-2</v>
      </c>
      <c r="P77" s="74">
        <f t="shared" si="13"/>
        <v>8682.5689427728794</v>
      </c>
      <c r="Q77" s="90">
        <f t="shared" si="14"/>
        <v>1275266.8745709851</v>
      </c>
      <c r="R77" s="92">
        <f t="shared" si="15"/>
        <v>1275266.8700000001</v>
      </c>
    </row>
    <row r="78" spans="1:18" x14ac:dyDescent="0.25">
      <c r="A78" s="6" t="s">
        <v>58</v>
      </c>
      <c r="B78" s="6" t="s">
        <v>142</v>
      </c>
      <c r="C78" s="6">
        <v>464</v>
      </c>
      <c r="D78" s="6">
        <v>422</v>
      </c>
      <c r="E78" s="7">
        <v>0.90948275862068961</v>
      </c>
      <c r="F78" s="20" t="s">
        <v>188</v>
      </c>
      <c r="G78" s="14" t="s">
        <v>169</v>
      </c>
      <c r="H78" s="44">
        <f t="shared" si="17"/>
        <v>100000</v>
      </c>
      <c r="I78" s="48">
        <f t="shared" si="9"/>
        <v>1307395.5448760414</v>
      </c>
      <c r="J78" s="77">
        <v>7.7818473116043341E-2</v>
      </c>
      <c r="K78" s="47">
        <f t="shared" si="10"/>
        <v>41435.061802533644</v>
      </c>
      <c r="L78" s="71">
        <v>6.9710729319514886E-2</v>
      </c>
      <c r="M78" s="47">
        <f t="shared" si="11"/>
        <v>37118.029460003585</v>
      </c>
      <c r="N78" s="73">
        <v>5248</v>
      </c>
      <c r="O78" s="71">
        <f t="shared" si="12"/>
        <v>1.3396367052288716E-2</v>
      </c>
      <c r="P78" s="74">
        <f t="shared" si="13"/>
        <v>7133.0016449085442</v>
      </c>
      <c r="Q78" s="90">
        <f t="shared" si="14"/>
        <v>1493081.6377834871</v>
      </c>
      <c r="R78" s="92">
        <f t="shared" si="15"/>
        <v>1493081.64</v>
      </c>
    </row>
    <row r="79" spans="1:18" x14ac:dyDescent="0.25">
      <c r="A79" s="6" t="s">
        <v>59</v>
      </c>
      <c r="B79" s="6" t="s">
        <v>207</v>
      </c>
      <c r="C79" s="6">
        <v>210</v>
      </c>
      <c r="D79" s="6">
        <v>169</v>
      </c>
      <c r="E79" s="7">
        <v>0.80476190476190479</v>
      </c>
      <c r="F79" s="20" t="s">
        <v>188</v>
      </c>
      <c r="G79" s="14" t="s">
        <v>171</v>
      </c>
      <c r="H79" s="44">
        <f t="shared" si="17"/>
        <v>100000</v>
      </c>
      <c r="I79" s="48">
        <f t="shared" si="9"/>
        <v>540051.70366192644</v>
      </c>
      <c r="J79" s="77">
        <v>6.8591491182106529E-2</v>
      </c>
      <c r="K79" s="47">
        <f t="shared" si="10"/>
        <v>16529.390676660925</v>
      </c>
      <c r="L79" s="71">
        <v>7.5534933641143248E-2</v>
      </c>
      <c r="M79" s="47">
        <f t="shared" si="11"/>
        <v>18202.643015520607</v>
      </c>
      <c r="N79" s="73">
        <v>7501</v>
      </c>
      <c r="O79" s="71">
        <f t="shared" si="12"/>
        <v>1.9147513197259464E-2</v>
      </c>
      <c r="P79" s="74">
        <f t="shared" si="13"/>
        <v>4614.2272265774427</v>
      </c>
      <c r="Q79" s="90">
        <f t="shared" si="14"/>
        <v>679397.96458068548</v>
      </c>
      <c r="R79" s="92">
        <f t="shared" si="15"/>
        <v>679397.96</v>
      </c>
    </row>
    <row r="80" spans="1:18" x14ac:dyDescent="0.25">
      <c r="A80" s="6" t="s">
        <v>60</v>
      </c>
      <c r="B80" s="6" t="s">
        <v>143</v>
      </c>
      <c r="C80" s="6">
        <v>285</v>
      </c>
      <c r="D80" s="6">
        <v>210</v>
      </c>
      <c r="E80" s="7">
        <v>0.73684210526315785</v>
      </c>
      <c r="F80" s="20" t="s">
        <v>188</v>
      </c>
      <c r="G80" s="14" t="s">
        <v>171</v>
      </c>
      <c r="H80" s="44">
        <f t="shared" si="17"/>
        <v>100000</v>
      </c>
      <c r="I80" s="48">
        <f t="shared" si="9"/>
        <v>687457.61511962698</v>
      </c>
      <c r="J80" s="77">
        <v>6.8630229738454035E-2</v>
      </c>
      <c r="K80" s="47">
        <f t="shared" si="10"/>
        <v>22445.413876604707</v>
      </c>
      <c r="L80" s="71">
        <v>7.481327517701461E-2</v>
      </c>
      <c r="M80" s="47">
        <f t="shared" si="11"/>
        <v>24467.569629473837</v>
      </c>
      <c r="N80" s="73">
        <v>5241</v>
      </c>
      <c r="O80" s="71">
        <f t="shared" si="12"/>
        <v>1.3378498422455252E-2</v>
      </c>
      <c r="P80" s="74">
        <f t="shared" si="13"/>
        <v>4375.4178775720875</v>
      </c>
      <c r="Q80" s="90">
        <f t="shared" si="14"/>
        <v>838746.0165032777</v>
      </c>
      <c r="R80" s="92">
        <f t="shared" si="15"/>
        <v>838746.02</v>
      </c>
    </row>
    <row r="81" spans="1:19" x14ac:dyDescent="0.25">
      <c r="A81" s="6" t="s">
        <v>61</v>
      </c>
      <c r="B81" s="6" t="s">
        <v>144</v>
      </c>
      <c r="C81" s="6">
        <v>198</v>
      </c>
      <c r="D81" s="6">
        <v>160</v>
      </c>
      <c r="E81" s="7">
        <v>0.80808080808080807</v>
      </c>
      <c r="F81" s="20" t="s">
        <v>188</v>
      </c>
      <c r="G81" s="14" t="s">
        <v>169</v>
      </c>
      <c r="H81" s="44">
        <f t="shared" si="17"/>
        <v>100000</v>
      </c>
      <c r="I81" s="48">
        <f t="shared" si="9"/>
        <v>510735.22701954143</v>
      </c>
      <c r="J81" s="77">
        <v>7.635980322247353E-2</v>
      </c>
      <c r="K81" s="47">
        <f t="shared" si="10"/>
        <v>17349.912784581615</v>
      </c>
      <c r="L81" s="71">
        <v>6.9722923803144599E-2</v>
      </c>
      <c r="M81" s="47">
        <f t="shared" si="11"/>
        <v>15841.929863886346</v>
      </c>
      <c r="N81" s="73">
        <v>6100</v>
      </c>
      <c r="O81" s="71">
        <f t="shared" si="12"/>
        <v>1.5571234569161808E-2</v>
      </c>
      <c r="P81" s="74">
        <f t="shared" si="13"/>
        <v>3537.9813766166008</v>
      </c>
      <c r="Q81" s="90">
        <f t="shared" si="14"/>
        <v>647465.05104462605</v>
      </c>
      <c r="R81" s="92">
        <f t="shared" si="15"/>
        <v>647465.05000000005</v>
      </c>
    </row>
    <row r="82" spans="1:19" x14ac:dyDescent="0.25">
      <c r="A82" s="6" t="s">
        <v>62</v>
      </c>
      <c r="B82" s="6" t="s">
        <v>145</v>
      </c>
      <c r="C82" s="6">
        <v>338</v>
      </c>
      <c r="D82" s="6">
        <v>75</v>
      </c>
      <c r="E82" s="7">
        <v>0.22189349112426035</v>
      </c>
      <c r="F82" s="20" t="s">
        <v>188</v>
      </c>
      <c r="G82" s="14" t="s">
        <v>171</v>
      </c>
      <c r="H82" s="44">
        <f t="shared" si="17"/>
        <v>100000</v>
      </c>
      <c r="I82" s="48">
        <f t="shared" ref="I82:I101" si="18">(C82*$F$11)+(D82*$F$10)</f>
        <v>406453.06090512767</v>
      </c>
      <c r="J82" s="77">
        <v>6.9500820450816139E-2</v>
      </c>
      <c r="K82" s="47">
        <f t="shared" ref="K82:K113" si="19">(J82*C82)*$F$15</f>
        <v>26957.147620203214</v>
      </c>
      <c r="L82" s="71">
        <v>7.6099512047672513E-2</v>
      </c>
      <c r="M82" s="47">
        <f t="shared" ref="M82:M113" si="20">(L82*C82)*$F$15</f>
        <v>29516.569254693619</v>
      </c>
      <c r="N82" s="73">
        <v>2361</v>
      </c>
      <c r="O82" s="71">
        <f t="shared" ref="O82:O113" si="21">N82/$N$17</f>
        <v>6.0268335766870537E-3</v>
      </c>
      <c r="P82" s="74">
        <f t="shared" ref="P82:P113" si="22">(O82*C82)*$F$15</f>
        <v>2337.6161800006844</v>
      </c>
      <c r="Q82" s="90">
        <f t="shared" ref="Q82:Q113" si="23">H82+I82+K82+M82+P82</f>
        <v>565264.39396002516</v>
      </c>
      <c r="R82" s="92">
        <f t="shared" ref="R82:R113" si="24">ROUND(Q82,2)</f>
        <v>565264.39</v>
      </c>
      <c r="S82" s="26"/>
    </row>
    <row r="83" spans="1:19" x14ac:dyDescent="0.25">
      <c r="A83" s="6" t="s">
        <v>63</v>
      </c>
      <c r="B83" s="6" t="s">
        <v>146</v>
      </c>
      <c r="C83" s="6">
        <v>577</v>
      </c>
      <c r="D83" s="6">
        <v>83</v>
      </c>
      <c r="E83" s="7">
        <v>0.14384748700173311</v>
      </c>
      <c r="F83" s="20" t="s">
        <v>188</v>
      </c>
      <c r="G83" s="14" t="s">
        <v>169</v>
      </c>
      <c r="H83" s="44">
        <f t="shared" si="17"/>
        <v>100000</v>
      </c>
      <c r="I83" s="48">
        <f t="shared" si="18"/>
        <v>588075.35277548002</v>
      </c>
      <c r="J83" s="77">
        <v>7.4925493297927942E-2</v>
      </c>
      <c r="K83" s="47">
        <f t="shared" si="19"/>
        <v>49610.400068721712</v>
      </c>
      <c r="L83" s="71">
        <v>6.8473424765886526E-2</v>
      </c>
      <c r="M83" s="47">
        <f t="shared" si="20"/>
        <v>45338.293379045281</v>
      </c>
      <c r="N83" s="73">
        <v>1143</v>
      </c>
      <c r="O83" s="71">
        <f t="shared" si="21"/>
        <v>2.9176919856642534E-3</v>
      </c>
      <c r="P83" s="74">
        <f t="shared" si="22"/>
        <v>1931.8907399186876</v>
      </c>
      <c r="Q83" s="90">
        <f t="shared" si="23"/>
        <v>784955.93696316576</v>
      </c>
      <c r="R83" s="92">
        <f t="shared" si="24"/>
        <v>784955.94</v>
      </c>
      <c r="S83" s="26"/>
    </row>
    <row r="84" spans="1:19" x14ac:dyDescent="0.25">
      <c r="A84" s="6" t="s">
        <v>64</v>
      </c>
      <c r="B84" s="6" t="s">
        <v>147</v>
      </c>
      <c r="C84" s="6">
        <v>356</v>
      </c>
      <c r="D84" s="6">
        <v>305</v>
      </c>
      <c r="E84" s="7">
        <v>0.8567415730337079</v>
      </c>
      <c r="F84" s="20" t="s">
        <v>188</v>
      </c>
      <c r="G84" s="14" t="s">
        <v>169</v>
      </c>
      <c r="H84" s="44">
        <f t="shared" si="17"/>
        <v>100000</v>
      </c>
      <c r="I84" s="48">
        <f t="shared" si="18"/>
        <v>958983.68577920413</v>
      </c>
      <c r="J84" s="77">
        <v>7.5379228535900969E-2</v>
      </c>
      <c r="K84" s="47">
        <f t="shared" si="19"/>
        <v>30794.204641417786</v>
      </c>
      <c r="L84" s="71">
        <v>6.8786998124069007E-2</v>
      </c>
      <c r="M84" s="47">
        <f t="shared" si="20"/>
        <v>28101.12199400588</v>
      </c>
      <c r="N84" s="73">
        <v>5327</v>
      </c>
      <c r="O84" s="71">
        <f t="shared" si="21"/>
        <v>1.3598027303266386E-2</v>
      </c>
      <c r="P84" s="74">
        <f t="shared" si="22"/>
        <v>5555.1170213547284</v>
      </c>
      <c r="Q84" s="90">
        <f t="shared" si="23"/>
        <v>1123434.1294359826</v>
      </c>
      <c r="R84" s="92">
        <f t="shared" si="24"/>
        <v>1123434.1299999999</v>
      </c>
      <c r="S84" s="26"/>
    </row>
    <row r="85" spans="1:19" x14ac:dyDescent="0.25">
      <c r="A85" s="6" t="s">
        <v>65</v>
      </c>
      <c r="B85" s="6" t="s">
        <v>148</v>
      </c>
      <c r="C85" s="6">
        <v>180</v>
      </c>
      <c r="D85" s="6">
        <v>94</v>
      </c>
      <c r="E85" s="7">
        <v>0.52222222222222225</v>
      </c>
      <c r="F85" s="20" t="s">
        <v>188</v>
      </c>
      <c r="G85" s="14" t="s">
        <v>169</v>
      </c>
      <c r="H85" s="44">
        <f t="shared" si="17"/>
        <v>100000</v>
      </c>
      <c r="I85" s="48">
        <f t="shared" si="18"/>
        <v>343438.64013771352</v>
      </c>
      <c r="J85" s="77">
        <v>7.7692208230444884E-2</v>
      </c>
      <c r="K85" s="47">
        <f t="shared" si="19"/>
        <v>16047.865499368763</v>
      </c>
      <c r="L85" s="71">
        <v>7.0262164489058351E-2</v>
      </c>
      <c r="M85" s="47">
        <f t="shared" si="20"/>
        <v>14513.138332617011</v>
      </c>
      <c r="N85" s="73">
        <v>5379</v>
      </c>
      <c r="O85" s="71">
        <f t="shared" si="21"/>
        <v>1.3730765696314979E-2</v>
      </c>
      <c r="P85" s="74">
        <f t="shared" si="22"/>
        <v>2836.1850707631438</v>
      </c>
      <c r="Q85" s="90">
        <f t="shared" si="23"/>
        <v>476835.82904046244</v>
      </c>
      <c r="R85" s="92">
        <f t="shared" si="24"/>
        <v>476835.83</v>
      </c>
      <c r="S85" s="26"/>
    </row>
    <row r="86" spans="1:19" x14ac:dyDescent="0.25">
      <c r="A86" s="6" t="s">
        <v>66</v>
      </c>
      <c r="B86" s="6" t="s">
        <v>149</v>
      </c>
      <c r="C86" s="6">
        <v>207</v>
      </c>
      <c r="D86" s="6">
        <v>121</v>
      </c>
      <c r="E86" s="7">
        <v>0.58454106280193241</v>
      </c>
      <c r="F86" s="20" t="s">
        <v>188</v>
      </c>
      <c r="G86" s="14" t="s">
        <v>169</v>
      </c>
      <c r="H86" s="44">
        <f t="shared" si="17"/>
        <v>100000</v>
      </c>
      <c r="I86" s="48">
        <f t="shared" si="18"/>
        <v>425256.38182971207</v>
      </c>
      <c r="J86" s="77">
        <v>8.6956193711657109E-2</v>
      </c>
      <c r="K86" s="47">
        <f t="shared" si="19"/>
        <v>20655.616988192782</v>
      </c>
      <c r="L86" s="71">
        <v>7.8186098045724781E-2</v>
      </c>
      <c r="M86" s="47">
        <f t="shared" si="20"/>
        <v>18572.364153713861</v>
      </c>
      <c r="N86" s="73">
        <v>5425</v>
      </c>
      <c r="O86" s="71">
        <f t="shared" si="21"/>
        <v>1.3848188120934886E-2</v>
      </c>
      <c r="P86" s="74">
        <f t="shared" si="22"/>
        <v>3289.5054118281396</v>
      </c>
      <c r="Q86" s="90">
        <f t="shared" si="23"/>
        <v>567773.86838344694</v>
      </c>
      <c r="R86" s="92">
        <f t="shared" si="24"/>
        <v>567773.87</v>
      </c>
      <c r="S86" s="26"/>
    </row>
    <row r="87" spans="1:19" x14ac:dyDescent="0.25">
      <c r="A87" s="6" t="s">
        <v>67</v>
      </c>
      <c r="B87" s="6" t="s">
        <v>150</v>
      </c>
      <c r="C87" s="6">
        <v>591</v>
      </c>
      <c r="D87" s="6">
        <v>63</v>
      </c>
      <c r="E87" s="7">
        <v>0.1065989847715736</v>
      </c>
      <c r="F87" s="20" t="s">
        <v>188</v>
      </c>
      <c r="G87" s="14" t="s">
        <v>169</v>
      </c>
      <c r="H87" s="44">
        <f t="shared" si="17"/>
        <v>100000</v>
      </c>
      <c r="I87" s="48">
        <f t="shared" si="18"/>
        <v>550633.77374385041</v>
      </c>
      <c r="J87" s="77">
        <v>7.7478039579743765E-2</v>
      </c>
      <c r="K87" s="47">
        <f t="shared" si="19"/>
        <v>52545.243547156628</v>
      </c>
      <c r="L87" s="71">
        <v>7.1926844172982174E-2</v>
      </c>
      <c r="M87" s="47">
        <f t="shared" si="20"/>
        <v>48780.448823279723</v>
      </c>
      <c r="N87" s="73">
        <v>4153</v>
      </c>
      <c r="O87" s="71">
        <f t="shared" si="21"/>
        <v>1.0601202814053932E-2</v>
      </c>
      <c r="P87" s="74">
        <f t="shared" si="22"/>
        <v>7189.686094005172</v>
      </c>
      <c r="Q87" s="90">
        <f t="shared" si="23"/>
        <v>759149.15220829193</v>
      </c>
      <c r="R87" s="92">
        <f t="shared" si="24"/>
        <v>759149.15</v>
      </c>
      <c r="S87" s="26"/>
    </row>
    <row r="88" spans="1:19" x14ac:dyDescent="0.25">
      <c r="A88" s="6" t="s">
        <v>68</v>
      </c>
      <c r="B88" s="6" t="s">
        <v>208</v>
      </c>
      <c r="C88" s="6">
        <v>253</v>
      </c>
      <c r="D88" s="6">
        <v>240</v>
      </c>
      <c r="E88" s="7">
        <v>0.9486166007905138</v>
      </c>
      <c r="F88" s="20" t="s">
        <v>188</v>
      </c>
      <c r="G88" s="14" t="s">
        <v>169</v>
      </c>
      <c r="H88" s="44">
        <f t="shared" si="17"/>
        <v>100000</v>
      </c>
      <c r="I88" s="48">
        <f t="shared" si="18"/>
        <v>736125.69804632431</v>
      </c>
      <c r="J88" s="77">
        <v>7.7508039918541105E-2</v>
      </c>
      <c r="K88" s="47">
        <f t="shared" si="19"/>
        <v>22502.697424724498</v>
      </c>
      <c r="L88" s="71">
        <v>6.941667204197037E-2</v>
      </c>
      <c r="M88" s="47">
        <f t="shared" si="20"/>
        <v>20153.55270025507</v>
      </c>
      <c r="N88" s="73">
        <v>8239</v>
      </c>
      <c r="O88" s="71">
        <f t="shared" si="21"/>
        <v>2.1031377313987562E-2</v>
      </c>
      <c r="P88" s="74">
        <f t="shared" si="22"/>
        <v>6105.982303503788</v>
      </c>
      <c r="Q88" s="90">
        <f t="shared" si="23"/>
        <v>884887.93047480762</v>
      </c>
      <c r="R88" s="92">
        <f t="shared" si="24"/>
        <v>884887.93</v>
      </c>
      <c r="S88" s="26"/>
    </row>
    <row r="89" spans="1:19" x14ac:dyDescent="0.25">
      <c r="A89" s="6" t="s">
        <v>69</v>
      </c>
      <c r="B89" s="6" t="s">
        <v>151</v>
      </c>
      <c r="C89" s="6">
        <v>470</v>
      </c>
      <c r="D89" s="6">
        <v>118</v>
      </c>
      <c r="E89" s="7">
        <v>0.25106382978723402</v>
      </c>
      <c r="F89" s="20" t="s">
        <v>188</v>
      </c>
      <c r="G89" s="14" t="s">
        <v>169</v>
      </c>
      <c r="H89" s="44">
        <f t="shared" si="17"/>
        <v>100000</v>
      </c>
      <c r="I89" s="48">
        <f t="shared" si="18"/>
        <v>597390.97392522951</v>
      </c>
      <c r="J89" s="77">
        <v>7.7839756129190155E-2</v>
      </c>
      <c r="K89" s="47">
        <f t="shared" si="19"/>
        <v>41982.338862739292</v>
      </c>
      <c r="L89" s="71">
        <v>7.2800514335081265E-2</v>
      </c>
      <c r="M89" s="47">
        <f t="shared" si="20"/>
        <v>39264.458345996223</v>
      </c>
      <c r="N89" s="73">
        <v>9396</v>
      </c>
      <c r="O89" s="71">
        <f t="shared" si="21"/>
        <v>2.3984806559318745E-2</v>
      </c>
      <c r="P89" s="74">
        <f t="shared" si="22"/>
        <v>12936.040997602337</v>
      </c>
      <c r="Q89" s="90">
        <f t="shared" si="23"/>
        <v>791573.81213156739</v>
      </c>
      <c r="R89" s="92">
        <f t="shared" si="24"/>
        <v>791573.81</v>
      </c>
      <c r="S89" s="26"/>
    </row>
    <row r="90" spans="1:19" x14ac:dyDescent="0.25">
      <c r="A90" s="6" t="s">
        <v>70</v>
      </c>
      <c r="B90" s="6" t="s">
        <v>152</v>
      </c>
      <c r="C90" s="6">
        <v>220</v>
      </c>
      <c r="D90" s="6">
        <v>205</v>
      </c>
      <c r="E90" s="7">
        <v>0.93181818181818177</v>
      </c>
      <c r="F90" s="20" t="s">
        <v>188</v>
      </c>
      <c r="G90" s="15" t="s">
        <v>170</v>
      </c>
      <c r="H90" s="45">
        <f t="shared" si="17"/>
        <v>125000</v>
      </c>
      <c r="I90" s="48">
        <f t="shared" si="18"/>
        <v>631428.25990524993</v>
      </c>
      <c r="J90" s="77">
        <v>6.5034433310397072E-2</v>
      </c>
      <c r="K90" s="47">
        <f t="shared" si="19"/>
        <v>16418.495047462868</v>
      </c>
      <c r="L90" s="71">
        <v>6.4229254725545415E-2</v>
      </c>
      <c r="M90" s="47">
        <f t="shared" si="20"/>
        <v>16215.220875077686</v>
      </c>
      <c r="N90" s="8" t="s">
        <v>203</v>
      </c>
      <c r="O90" s="9">
        <v>2.0542015373717765E-2</v>
      </c>
      <c r="P90" s="74">
        <f t="shared" si="22"/>
        <v>5186.0062510050639</v>
      </c>
      <c r="Q90" s="90">
        <f t="shared" si="23"/>
        <v>794247.98207879555</v>
      </c>
      <c r="R90" s="92">
        <f t="shared" si="24"/>
        <v>794247.98</v>
      </c>
      <c r="S90" s="26"/>
    </row>
    <row r="91" spans="1:19" x14ac:dyDescent="0.25">
      <c r="A91" s="6" t="s">
        <v>71</v>
      </c>
      <c r="B91" s="6" t="s">
        <v>153</v>
      </c>
      <c r="C91" s="6">
        <v>455</v>
      </c>
      <c r="D91" s="6">
        <v>88</v>
      </c>
      <c r="E91" s="7">
        <v>0.19340659340659341</v>
      </c>
      <c r="F91" s="19" t="s">
        <v>187</v>
      </c>
      <c r="G91" s="14" t="s">
        <v>169</v>
      </c>
      <c r="H91" s="44">
        <f t="shared" si="17"/>
        <v>100000</v>
      </c>
      <c r="I91" s="48">
        <f t="shared" si="18"/>
        <v>516701.85243715881</v>
      </c>
      <c r="J91" s="77">
        <v>8.6899333661093675E-2</v>
      </c>
      <c r="K91" s="47">
        <f t="shared" si="19"/>
        <v>45372.754796360045</v>
      </c>
      <c r="L91" s="71">
        <v>7.8226538090356887E-2</v>
      </c>
      <c r="M91" s="47">
        <f t="shared" si="20"/>
        <v>40844.427474948388</v>
      </c>
      <c r="N91" s="73">
        <v>5425</v>
      </c>
      <c r="O91" s="71">
        <f t="shared" ref="O91:O101" si="25">N91/$N$17</f>
        <v>1.3848188120934886E-2</v>
      </c>
      <c r="P91" s="74">
        <f t="shared" si="22"/>
        <v>7230.5553738251383</v>
      </c>
      <c r="Q91" s="90">
        <f t="shared" si="23"/>
        <v>710149.59008229233</v>
      </c>
      <c r="R91" s="92">
        <f t="shared" si="24"/>
        <v>710149.59</v>
      </c>
      <c r="S91" s="26"/>
    </row>
    <row r="92" spans="1:19" x14ac:dyDescent="0.25">
      <c r="A92" s="6" t="s">
        <v>72</v>
      </c>
      <c r="B92" s="6" t="s">
        <v>154</v>
      </c>
      <c r="C92" s="6">
        <v>183</v>
      </c>
      <c r="D92" s="6">
        <v>55</v>
      </c>
      <c r="E92" s="7">
        <v>0.30054644808743169</v>
      </c>
      <c r="F92" s="20" t="s">
        <v>188</v>
      </c>
      <c r="G92" s="14" t="s">
        <v>169</v>
      </c>
      <c r="H92" s="44">
        <f t="shared" si="17"/>
        <v>100000</v>
      </c>
      <c r="I92" s="48">
        <f t="shared" si="18"/>
        <v>253872.0027911131</v>
      </c>
      <c r="J92" s="77">
        <v>7.8508634109373157E-2</v>
      </c>
      <c r="K92" s="47">
        <f t="shared" si="19"/>
        <v>16486.779003704643</v>
      </c>
      <c r="L92" s="71">
        <v>7.180049328583174E-2</v>
      </c>
      <c r="M92" s="47">
        <f t="shared" si="20"/>
        <v>15078.072349486436</v>
      </c>
      <c r="N92" s="73">
        <v>5168</v>
      </c>
      <c r="O92" s="71">
        <f t="shared" si="25"/>
        <v>1.3192154139906266E-2</v>
      </c>
      <c r="P92" s="74">
        <f t="shared" si="22"/>
        <v>2770.3466294476657</v>
      </c>
      <c r="Q92" s="90">
        <f t="shared" si="23"/>
        <v>388207.20077375183</v>
      </c>
      <c r="R92" s="92">
        <f t="shared" si="24"/>
        <v>388207.2</v>
      </c>
      <c r="S92" s="26"/>
    </row>
    <row r="93" spans="1:19" x14ac:dyDescent="0.25">
      <c r="A93" s="6" t="s">
        <v>73</v>
      </c>
      <c r="B93" s="6" t="s">
        <v>155</v>
      </c>
      <c r="C93" s="6">
        <v>4</v>
      </c>
      <c r="D93" s="6">
        <v>3</v>
      </c>
      <c r="E93" s="7">
        <v>0.75</v>
      </c>
      <c r="F93" s="19" t="s">
        <v>187</v>
      </c>
      <c r="G93" s="14" t="s">
        <v>205</v>
      </c>
      <c r="H93" s="44">
        <f>IF(G93="Small School",$E$3,$E$4)</f>
        <v>25000</v>
      </c>
      <c r="I93" s="48">
        <f t="shared" si="18"/>
        <v>9772.1588807950156</v>
      </c>
      <c r="J93" s="77">
        <v>7.5042635044023157E-2</v>
      </c>
      <c r="K93" s="47">
        <f t="shared" si="19"/>
        <v>344.45728323594034</v>
      </c>
      <c r="L93" s="71">
        <v>6.852768869902208E-2</v>
      </c>
      <c r="M93" s="47">
        <f t="shared" si="20"/>
        <v>314.552673448311</v>
      </c>
      <c r="N93" s="73">
        <v>3349</v>
      </c>
      <c r="O93" s="71">
        <f t="shared" si="25"/>
        <v>8.5488630446103105E-3</v>
      </c>
      <c r="P93" s="74">
        <f t="shared" si="22"/>
        <v>39.240601524388126</v>
      </c>
      <c r="Q93" s="90">
        <f t="shared" si="23"/>
        <v>35470.409439003663</v>
      </c>
      <c r="R93" s="92">
        <f t="shared" si="24"/>
        <v>35470.410000000003</v>
      </c>
      <c r="S93" s="26"/>
    </row>
    <row r="94" spans="1:19" x14ac:dyDescent="0.25">
      <c r="A94" s="6" t="s">
        <v>74</v>
      </c>
      <c r="B94" s="6" t="s">
        <v>156</v>
      </c>
      <c r="C94" s="6">
        <v>254</v>
      </c>
      <c r="D94" s="6">
        <v>233</v>
      </c>
      <c r="E94" s="7">
        <v>0.91732283464566933</v>
      </c>
      <c r="F94" s="19" t="s">
        <v>187</v>
      </c>
      <c r="G94" s="14" t="s">
        <v>169</v>
      </c>
      <c r="H94" s="44">
        <f>IF(G94="Rural Arizona",$E$5,$E$4)</f>
        <v>100000</v>
      </c>
      <c r="I94" s="48">
        <f t="shared" si="18"/>
        <v>720364.08048335277</v>
      </c>
      <c r="J94" s="77">
        <v>7.6019125168305404E-2</v>
      </c>
      <c r="K94" s="47">
        <f t="shared" si="19"/>
        <v>22157.659754944085</v>
      </c>
      <c r="L94" s="71">
        <v>6.9256357416312836E-2</v>
      </c>
      <c r="M94" s="47">
        <f t="shared" si="20"/>
        <v>20186.483336922964</v>
      </c>
      <c r="N94" s="73">
        <v>5212</v>
      </c>
      <c r="O94" s="71">
        <f t="shared" si="25"/>
        <v>1.3304471241716614E-2</v>
      </c>
      <c r="P94" s="74">
        <f t="shared" si="22"/>
        <v>3877.9181731007898</v>
      </c>
      <c r="Q94" s="90">
        <f t="shared" si="23"/>
        <v>866586.14174832054</v>
      </c>
      <c r="R94" s="92">
        <f t="shared" si="24"/>
        <v>866586.14</v>
      </c>
      <c r="S94" s="26"/>
    </row>
    <row r="95" spans="1:19" x14ac:dyDescent="0.25">
      <c r="A95" s="6" t="s">
        <v>75</v>
      </c>
      <c r="B95" s="6" t="s">
        <v>157</v>
      </c>
      <c r="C95" s="6">
        <v>201</v>
      </c>
      <c r="D95" s="6">
        <v>64</v>
      </c>
      <c r="E95" s="7">
        <v>0.31840796019900497</v>
      </c>
      <c r="F95" s="19" t="s">
        <v>187</v>
      </c>
      <c r="G95" s="14" t="s">
        <v>169</v>
      </c>
      <c r="H95" s="44">
        <f>IF(G95="Rural Arizona",$E$5,$E$4)</f>
        <v>100000</v>
      </c>
      <c r="I95" s="48">
        <f t="shared" si="18"/>
        <v>287276.27159026923</v>
      </c>
      <c r="J95" s="77">
        <v>8.5871863659512396E-2</v>
      </c>
      <c r="K95" s="47">
        <f t="shared" si="19"/>
        <v>19806.797022410243</v>
      </c>
      <c r="L95" s="71">
        <v>7.6994195529762499E-2</v>
      </c>
      <c r="M95" s="47">
        <f t="shared" si="20"/>
        <v>17759.116173471335</v>
      </c>
      <c r="N95" s="73">
        <v>3755</v>
      </c>
      <c r="O95" s="71">
        <f t="shared" si="25"/>
        <v>9.5852435749512448E-3</v>
      </c>
      <c r="P95" s="74">
        <f t="shared" si="22"/>
        <v>2210.8868470841717</v>
      </c>
      <c r="Q95" s="90">
        <f t="shared" si="23"/>
        <v>427053.07163323497</v>
      </c>
      <c r="R95" s="92">
        <f t="shared" si="24"/>
        <v>427053.07</v>
      </c>
      <c r="S95" s="26"/>
    </row>
    <row r="96" spans="1:19" x14ac:dyDescent="0.25">
      <c r="A96" s="6" t="s">
        <v>76</v>
      </c>
      <c r="B96" s="6" t="s">
        <v>158</v>
      </c>
      <c r="C96" s="6">
        <v>51</v>
      </c>
      <c r="D96" s="6">
        <v>37</v>
      </c>
      <c r="E96" s="7">
        <v>0.72549019607843135</v>
      </c>
      <c r="F96" s="20" t="s">
        <v>188</v>
      </c>
      <c r="G96" s="15" t="s">
        <v>170</v>
      </c>
      <c r="H96" s="45">
        <f>IF(G96="Rural Arizona",$E$5,$E$4)</f>
        <v>125000</v>
      </c>
      <c r="I96" s="48">
        <f t="shared" si="18"/>
        <v>121658.79068446382</v>
      </c>
      <c r="J96" s="77">
        <v>9.5571769125189623E-2</v>
      </c>
      <c r="K96" s="47">
        <f t="shared" si="19"/>
        <v>5593.2870304585713</v>
      </c>
      <c r="L96" s="71">
        <v>8.34115918996364E-2</v>
      </c>
      <c r="M96" s="47">
        <f t="shared" si="20"/>
        <v>4881.6191165302316</v>
      </c>
      <c r="N96" s="73">
        <v>1183</v>
      </c>
      <c r="O96" s="71">
        <f t="shared" si="25"/>
        <v>3.0197984418554786E-3</v>
      </c>
      <c r="P96" s="74">
        <f t="shared" si="22"/>
        <v>176.73210001275822</v>
      </c>
      <c r="Q96" s="90">
        <f t="shared" si="23"/>
        <v>257310.42893146537</v>
      </c>
      <c r="R96" s="92">
        <f t="shared" si="24"/>
        <v>257310.43</v>
      </c>
      <c r="S96" s="26"/>
    </row>
    <row r="97" spans="1:19" x14ac:dyDescent="0.25">
      <c r="A97" s="6" t="s">
        <v>77</v>
      </c>
      <c r="B97" s="6" t="s">
        <v>159</v>
      </c>
      <c r="C97" s="6">
        <v>750</v>
      </c>
      <c r="D97" s="6">
        <v>28</v>
      </c>
      <c r="E97" s="7">
        <v>3.7333333333333336E-2</v>
      </c>
      <c r="F97" s="19" t="s">
        <v>187</v>
      </c>
      <c r="G97" s="14" t="s">
        <v>169</v>
      </c>
      <c r="H97" s="44">
        <f>IF(G97="Rural Arizona",$E$5,$E$4)</f>
        <v>100000</v>
      </c>
      <c r="I97" s="48">
        <f t="shared" si="18"/>
        <v>576745.68461945013</v>
      </c>
      <c r="J97" s="77">
        <v>7.9513093480707092E-2</v>
      </c>
      <c r="K97" s="47">
        <f t="shared" si="19"/>
        <v>68433.258338698739</v>
      </c>
      <c r="L97" s="71">
        <v>7.2982048883830475E-2</v>
      </c>
      <c r="M97" s="47">
        <f t="shared" si="20"/>
        <v>62812.288979381017</v>
      </c>
      <c r="N97" s="73">
        <v>3963</v>
      </c>
      <c r="O97" s="71">
        <f t="shared" si="25"/>
        <v>1.0116197147145614E-2</v>
      </c>
      <c r="P97" s="74">
        <f t="shared" si="22"/>
        <v>8706.5450791924923</v>
      </c>
      <c r="Q97" s="90">
        <f t="shared" si="23"/>
        <v>816697.77701672236</v>
      </c>
      <c r="R97" s="92">
        <f t="shared" si="24"/>
        <v>816697.78</v>
      </c>
      <c r="S97" s="26"/>
    </row>
    <row r="98" spans="1:19" x14ac:dyDescent="0.25">
      <c r="A98" s="6" t="s">
        <v>78</v>
      </c>
      <c r="B98" s="6" t="s">
        <v>160</v>
      </c>
      <c r="C98" s="6">
        <v>206</v>
      </c>
      <c r="D98" s="6">
        <v>52</v>
      </c>
      <c r="E98" s="7">
        <v>0.25242718446601942</v>
      </c>
      <c r="F98" s="20" t="s">
        <v>188</v>
      </c>
      <c r="G98" s="15" t="s">
        <v>170</v>
      </c>
      <c r="H98" s="45">
        <f>IF(G98="Rural Arizona",$E$5,$E$4)</f>
        <v>125000</v>
      </c>
      <c r="I98" s="48">
        <f t="shared" si="18"/>
        <v>262494.90861578786</v>
      </c>
      <c r="J98" s="77">
        <v>8.9204609739934382E-2</v>
      </c>
      <c r="K98" s="47">
        <f t="shared" si="19"/>
        <v>21087.341103006096</v>
      </c>
      <c r="L98" s="71">
        <v>8.6570010829332952E-2</v>
      </c>
      <c r="M98" s="47">
        <f t="shared" si="20"/>
        <v>20464.540486990514</v>
      </c>
      <c r="N98" s="73">
        <v>2500</v>
      </c>
      <c r="O98" s="71">
        <f t="shared" si="25"/>
        <v>6.3816535119515603E-3</v>
      </c>
      <c r="P98" s="74">
        <f t="shared" si="22"/>
        <v>1508.5779176664591</v>
      </c>
      <c r="Q98" s="90">
        <f t="shared" si="23"/>
        <v>430555.36812345096</v>
      </c>
      <c r="R98" s="92">
        <f t="shared" si="24"/>
        <v>430555.37</v>
      </c>
      <c r="S98" s="26"/>
    </row>
    <row r="99" spans="1:19" x14ac:dyDescent="0.25">
      <c r="A99" s="6" t="s">
        <v>79</v>
      </c>
      <c r="B99" s="6" t="s">
        <v>161</v>
      </c>
      <c r="C99" s="6">
        <v>7</v>
      </c>
      <c r="D99" s="6">
        <v>6</v>
      </c>
      <c r="E99" s="7">
        <v>0.8571428571428571</v>
      </c>
      <c r="F99" s="19" t="s">
        <v>187</v>
      </c>
      <c r="G99" s="14" t="s">
        <v>205</v>
      </c>
      <c r="H99" s="44">
        <f>IF(G99="Small School",$E$3,$E$4)</f>
        <v>25000</v>
      </c>
      <c r="I99" s="48">
        <f t="shared" si="18"/>
        <v>18863.019068794853</v>
      </c>
      <c r="J99" s="77">
        <v>7.8693170878227983E-2</v>
      </c>
      <c r="K99" s="47">
        <f t="shared" si="19"/>
        <v>632.12416127925076</v>
      </c>
      <c r="L99" s="71">
        <v>7.103534322748592E-2</v>
      </c>
      <c r="M99" s="47">
        <f t="shared" si="20"/>
        <v>570.61059120800519</v>
      </c>
      <c r="N99" s="73">
        <v>6962</v>
      </c>
      <c r="O99" s="71">
        <f t="shared" si="25"/>
        <v>1.7771628700082705E-2</v>
      </c>
      <c r="P99" s="74">
        <f t="shared" si="22"/>
        <v>142.7554101738975</v>
      </c>
      <c r="Q99" s="90">
        <f t="shared" si="23"/>
        <v>45208.509231456002</v>
      </c>
      <c r="R99" s="92">
        <f t="shared" si="24"/>
        <v>45208.51</v>
      </c>
      <c r="S99" s="26"/>
    </row>
    <row r="100" spans="1:19" x14ac:dyDescent="0.25">
      <c r="A100" s="6" t="s">
        <v>80</v>
      </c>
      <c r="B100" s="6" t="s">
        <v>162</v>
      </c>
      <c r="C100" s="6">
        <v>1128</v>
      </c>
      <c r="D100" s="6">
        <v>311</v>
      </c>
      <c r="E100" s="7">
        <v>0.27570921985815605</v>
      </c>
      <c r="F100" s="20" t="s">
        <v>188</v>
      </c>
      <c r="G100" s="14" t="s">
        <v>169</v>
      </c>
      <c r="H100" s="44">
        <f>IF(G100="Rural Arizona",$E$5,$E$4)</f>
        <v>100000</v>
      </c>
      <c r="I100" s="48">
        <f t="shared" si="18"/>
        <v>1499040.2048363101</v>
      </c>
      <c r="J100" s="77">
        <v>7.4795151018207551E-2</v>
      </c>
      <c r="K100" s="47">
        <f t="shared" si="19"/>
        <v>96816.604721872529</v>
      </c>
      <c r="L100" s="71">
        <v>6.8703736984578059E-2</v>
      </c>
      <c r="M100" s="47">
        <f t="shared" si="20"/>
        <v>88931.734958756351</v>
      </c>
      <c r="N100" s="73">
        <v>1143</v>
      </c>
      <c r="O100" s="71">
        <f t="shared" si="25"/>
        <v>2.9176919856642534E-3</v>
      </c>
      <c r="P100" s="74">
        <f t="shared" si="22"/>
        <v>3776.7292107942453</v>
      </c>
      <c r="Q100" s="90">
        <f t="shared" si="23"/>
        <v>1788565.2737277332</v>
      </c>
      <c r="R100" s="92">
        <f t="shared" si="24"/>
        <v>1788565.27</v>
      </c>
      <c r="S100" s="26"/>
    </row>
    <row r="101" spans="1:19" ht="15.75" thickBot="1" x14ac:dyDescent="0.3">
      <c r="A101" s="6" t="s">
        <v>81</v>
      </c>
      <c r="B101" s="6" t="s">
        <v>163</v>
      </c>
      <c r="C101" s="6">
        <v>436</v>
      </c>
      <c r="D101" s="6">
        <v>70</v>
      </c>
      <c r="E101" s="7">
        <v>0.16055045871559634</v>
      </c>
      <c r="F101" s="19" t="s">
        <v>187</v>
      </c>
      <c r="G101" s="15" t="s">
        <v>170</v>
      </c>
      <c r="H101" s="94">
        <f>IF(G101="Rural Arizona",$E$5,$E$4)</f>
        <v>125000</v>
      </c>
      <c r="I101" s="49">
        <f t="shared" si="18"/>
        <v>461475.39261636464</v>
      </c>
      <c r="J101" s="78">
        <v>8.1258265102276239E-2</v>
      </c>
      <c r="K101" s="76">
        <f t="shared" si="19"/>
        <v>40655.69036998981</v>
      </c>
      <c r="L101" s="72">
        <v>0.14094988886075238</v>
      </c>
      <c r="M101" s="76">
        <f t="shared" si="20"/>
        <v>70521.011394897519</v>
      </c>
      <c r="N101" s="75">
        <v>6887</v>
      </c>
      <c r="O101" s="72">
        <f t="shared" si="25"/>
        <v>1.758017909472416E-2</v>
      </c>
      <c r="P101" s="79">
        <f t="shared" si="22"/>
        <v>8795.8353162532858</v>
      </c>
      <c r="Q101" s="90">
        <f t="shared" si="23"/>
        <v>706447.9296975052</v>
      </c>
      <c r="R101" s="93">
        <f t="shared" si="24"/>
        <v>706447.93</v>
      </c>
      <c r="S101" s="26"/>
    </row>
    <row r="102" spans="1:19" x14ac:dyDescent="0.25">
      <c r="S102" s="26"/>
    </row>
    <row r="103" spans="1:19" x14ac:dyDescent="0.25">
      <c r="S103" s="26"/>
    </row>
  </sheetData>
  <sheetProtection algorithmName="SHA-512" hashValue="zSDiDWPZNptE53+BEgRY9secsqXgkf/lO9yPE4yWHoxoO/2t0dObVdbXEu42d10+GTDWp95pCWTyNzWo5nRiqA==" saltValue="nDgiUTH5rDHs4Z5h602ZHg==" spinCount="100000" sheet="1" objects="1" scenarios="1"/>
  <autoFilter ref="A18:R18" xr:uid="{C7F63EB6-E52C-4FC1-9E09-72F1722654E9}">
    <sortState xmlns:xlrd2="http://schemas.microsoft.com/office/spreadsheetml/2017/richdata2" ref="A19:R102">
      <sortCondition ref="A18"/>
    </sortState>
  </autoFilter>
  <mergeCells count="2">
    <mergeCell ref="A5:B16"/>
    <mergeCell ref="J16:P1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EANS I Final Allocations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Laing, Peter</dc:creator>
  <cp:lastModifiedBy>Laing, Peter</cp:lastModifiedBy>
  <dcterms:created xsi:type="dcterms:W3CDTF">2021-04-15T23:28:29Z</dcterms:created>
  <dcterms:modified xsi:type="dcterms:W3CDTF">2021-06-23T15:59:03Z</dcterms:modified>
</cp:coreProperties>
</file>